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codeName="ThisWorkbook" defaultThemeVersion="124226"/>
  <mc:AlternateContent xmlns:mc="http://schemas.openxmlformats.org/markup-compatibility/2006">
    <mc:Choice Requires="x15">
      <x15ac:absPath xmlns:x15ac="http://schemas.microsoft.com/office/spreadsheetml/2010/11/ac" url="C:\Users\cyanez\Desktop\escritorio\MARCAS\ELPAS\AUTOCUOT ELPAS\Elpas\"/>
    </mc:Choice>
  </mc:AlternateContent>
  <xr:revisionPtr revIDLastSave="0" documentId="13_ncr:1_{52CE36C1-8AC6-46F8-8225-A736AB1785D7}" xr6:coauthVersionLast="37" xr6:coauthVersionMax="37" xr10:uidLastSave="{00000000-0000-0000-0000-000000000000}"/>
  <workbookProtection workbookPassword="C4C4" lockStructure="1"/>
  <bookViews>
    <workbookView xWindow="15" yWindow="90" windowWidth="15075" windowHeight="12765" tabRatio="793" firstSheet="11" activeTab="20" xr2:uid="{00000000-000D-0000-FFFF-FFFF00000000}"/>
  </bookViews>
  <sheets>
    <sheet name="Building Total" sheetId="1" r:id="rId1"/>
    <sheet name="Network Hardware Totals" sheetId="23" r:id="rId2"/>
    <sheet name="Transmitter Totals" sheetId="21" r:id="rId3"/>
    <sheet name="1" sheetId="7" r:id="rId4"/>
    <sheet name="2" sheetId="8" r:id="rId5"/>
    <sheet name="3" sheetId="9" r:id="rId6"/>
    <sheet name="4" sheetId="10" r:id="rId7"/>
    <sheet name="5" sheetId="11" r:id="rId8"/>
    <sheet name="6" sheetId="12" r:id="rId9"/>
    <sheet name="7" sheetId="13" r:id="rId10"/>
    <sheet name="8" sheetId="14" r:id="rId11"/>
    <sheet name="9" sheetId="15" r:id="rId12"/>
    <sheet name="10" sheetId="16" r:id="rId13"/>
    <sheet name="11" sheetId="17" r:id="rId14"/>
    <sheet name="12" sheetId="18" r:id="rId15"/>
    <sheet name="13" sheetId="19" r:id="rId16"/>
    <sheet name="OUT" sheetId="25" r:id="rId17"/>
    <sheet name="MISC" sheetId="20" r:id="rId18"/>
    <sheet name="End Notes &amp; Terms" sheetId="5" r:id="rId19"/>
    <sheet name="Server &amp; Client Specs" sheetId="22" r:id="rId20"/>
    <sheet name="Order Sheet" sheetId="24" r:id="rId21"/>
  </sheets>
  <definedNames>
    <definedName name="_xlnm._FilterDatabase" localSheetId="20" hidden="1">'Order Sheet'!$E$1:$E$99</definedName>
    <definedName name="_xlnm.Print_Area" localSheetId="3">'1'!$A$1:$F$35</definedName>
    <definedName name="_xlnm.Print_Area" localSheetId="12">'10'!$A$1:$F$34</definedName>
    <definedName name="_xlnm.Print_Area" localSheetId="13">'11'!$A$1:$F$34</definedName>
    <definedName name="_xlnm.Print_Area" localSheetId="14">'12'!$A$1:$F$34</definedName>
    <definedName name="_xlnm.Print_Area" localSheetId="15">'13'!$A$1:$F$34</definedName>
    <definedName name="_xlnm.Print_Area" localSheetId="4">'2'!$A$1:$F$34</definedName>
    <definedName name="_xlnm.Print_Area" localSheetId="5">'3'!$A$1:$F$34</definedName>
    <definedName name="_xlnm.Print_Area" localSheetId="6">'4'!$A$1:$F$34</definedName>
    <definedName name="_xlnm.Print_Area" localSheetId="7">'5'!$A$1:$F$34</definedName>
    <definedName name="_xlnm.Print_Area" localSheetId="8">'6'!$A$1:$F$34</definedName>
    <definedName name="_xlnm.Print_Area" localSheetId="9">'7'!$A$1:$F$34</definedName>
    <definedName name="_xlnm.Print_Area" localSheetId="10">'8'!$A$1:$F$34</definedName>
    <definedName name="_xlnm.Print_Area" localSheetId="11">'9'!$A$1:$F$34</definedName>
    <definedName name="_xlnm.Print_Area" localSheetId="0">'Building Total'!$A$1:$F$57</definedName>
    <definedName name="_xlnm.Print_Area" localSheetId="18">'End Notes &amp; Terms'!$A$1:$D$7</definedName>
    <definedName name="_xlnm.Print_Area" localSheetId="17">MISC!$A$1:$F$49</definedName>
    <definedName name="_xlnm.Print_Area" localSheetId="1">'Network Hardware Totals'!$A$1:$F$50</definedName>
    <definedName name="_xlnm.Print_Area" localSheetId="20">'Order Sheet'!$A$1:$F$99</definedName>
    <definedName name="_xlnm.Print_Area" localSheetId="19">'Server &amp; Client Specs'!$A$1:$A$47</definedName>
    <definedName name="_xlnm.Print_Area" localSheetId="2">'Transmitter Totals'!$A$1:$F$42</definedName>
    <definedName name="ReaderCables" localSheetId="1">'Network Hardware Totals'!$B$25:$B$27</definedName>
    <definedName name="ReaderCables">MISC!$B$25:$B$27</definedName>
  </definedNames>
  <calcPr calcId="162913"/>
</workbook>
</file>

<file path=xl/calcChain.xml><?xml version="1.0" encoding="utf-8"?>
<calcChain xmlns="http://schemas.openxmlformats.org/spreadsheetml/2006/main">
  <c r="E17" i="7" l="1"/>
  <c r="E18" i="7" s="1"/>
  <c r="E28" i="20"/>
  <c r="E17" i="19" l="1"/>
  <c r="E17" i="18"/>
  <c r="E17" i="17"/>
  <c r="E17" i="16"/>
  <c r="E17" i="15"/>
  <c r="E17" i="14"/>
  <c r="E17" i="13"/>
  <c r="E17" i="12"/>
  <c r="E17" i="11"/>
  <c r="E17" i="10"/>
  <c r="E17" i="9"/>
  <c r="E17" i="8"/>
  <c r="C32" i="19"/>
  <c r="C32" i="18"/>
  <c r="C32" i="17"/>
  <c r="C32" i="16"/>
  <c r="C32" i="15"/>
  <c r="C32" i="14"/>
  <c r="C32" i="13"/>
  <c r="C32" i="12"/>
  <c r="C32" i="11"/>
  <c r="C32" i="10"/>
  <c r="C32" i="9"/>
  <c r="C32" i="8"/>
  <c r="C46" i="20"/>
  <c r="C32" i="7"/>
  <c r="E39" i="24"/>
  <c r="E40" i="24"/>
  <c r="E41" i="24"/>
  <c r="D39" i="24"/>
  <c r="D40" i="24"/>
  <c r="D41" i="24"/>
  <c r="C39" i="24"/>
  <c r="C40" i="24"/>
  <c r="C41" i="24"/>
  <c r="B39" i="24"/>
  <c r="B40" i="24"/>
  <c r="B41" i="24"/>
  <c r="F23" i="21"/>
  <c r="F22" i="21"/>
  <c r="F21" i="21"/>
  <c r="B7" i="24"/>
  <c r="B8" i="24"/>
  <c r="C7" i="24"/>
  <c r="C8" i="24"/>
  <c r="D7" i="24"/>
  <c r="D8" i="24"/>
  <c r="E7" i="24"/>
  <c r="E8" i="24"/>
  <c r="F7" i="1"/>
  <c r="F8" i="1"/>
  <c r="F40" i="24" l="1"/>
  <c r="F41" i="24"/>
  <c r="F39" i="24"/>
  <c r="F8" i="24"/>
  <c r="F7" i="24"/>
  <c r="E17" i="24"/>
  <c r="D19" i="19" l="1"/>
  <c r="D20" i="19"/>
  <c r="D21" i="19"/>
  <c r="D22" i="19"/>
  <c r="D23" i="19"/>
  <c r="D24" i="19"/>
  <c r="D25" i="19"/>
  <c r="D18" i="19"/>
  <c r="D5" i="19"/>
  <c r="D6" i="19"/>
  <c r="D7" i="19"/>
  <c r="D8" i="19"/>
  <c r="D9" i="19"/>
  <c r="D10" i="19"/>
  <c r="D11" i="19"/>
  <c r="D12" i="19"/>
  <c r="D13" i="19"/>
  <c r="D14" i="19"/>
  <c r="D15" i="19"/>
  <c r="D16" i="19"/>
  <c r="D4" i="19"/>
  <c r="D19" i="18"/>
  <c r="D20" i="18"/>
  <c r="D21" i="18"/>
  <c r="D22" i="18"/>
  <c r="D23" i="18"/>
  <c r="D24" i="18"/>
  <c r="D25" i="18"/>
  <c r="D18" i="18"/>
  <c r="D5" i="18"/>
  <c r="D6" i="18"/>
  <c r="D7" i="18"/>
  <c r="D8" i="18"/>
  <c r="D9" i="18"/>
  <c r="D10" i="18"/>
  <c r="D11" i="18"/>
  <c r="D12" i="18"/>
  <c r="D13" i="18"/>
  <c r="D14" i="18"/>
  <c r="D15" i="18"/>
  <c r="D16" i="18"/>
  <c r="D4" i="18"/>
  <c r="D19" i="17"/>
  <c r="D20" i="17"/>
  <c r="D21" i="17"/>
  <c r="D22" i="17"/>
  <c r="D23" i="17"/>
  <c r="D24" i="17"/>
  <c r="D25" i="17"/>
  <c r="D18" i="17"/>
  <c r="D16" i="17"/>
  <c r="D5" i="17"/>
  <c r="D6" i="17"/>
  <c r="D7" i="17"/>
  <c r="D8" i="17"/>
  <c r="D9" i="17"/>
  <c r="D10" i="17"/>
  <c r="D11" i="17"/>
  <c r="D12" i="17"/>
  <c r="D13" i="17"/>
  <c r="D14" i="17"/>
  <c r="D15" i="17"/>
  <c r="D4" i="17"/>
  <c r="D19" i="16"/>
  <c r="D20" i="16"/>
  <c r="D21" i="16"/>
  <c r="D22" i="16"/>
  <c r="D23" i="16"/>
  <c r="D24" i="16"/>
  <c r="D25" i="16"/>
  <c r="D18" i="16"/>
  <c r="D5" i="16"/>
  <c r="D6" i="16"/>
  <c r="D7" i="16"/>
  <c r="D8" i="16"/>
  <c r="D9" i="16"/>
  <c r="D10" i="16"/>
  <c r="D11" i="16"/>
  <c r="D12" i="16"/>
  <c r="D13" i="16"/>
  <c r="D14" i="16"/>
  <c r="D15" i="16"/>
  <c r="D16" i="16"/>
  <c r="D4" i="16"/>
  <c r="D19" i="15"/>
  <c r="D20" i="15"/>
  <c r="D21" i="15"/>
  <c r="D22" i="15"/>
  <c r="D23" i="15"/>
  <c r="D24" i="15"/>
  <c r="D25" i="15"/>
  <c r="D18" i="15"/>
  <c r="D5" i="15"/>
  <c r="D6" i="15"/>
  <c r="D7" i="15"/>
  <c r="D8" i="15"/>
  <c r="D9" i="15"/>
  <c r="D10" i="15"/>
  <c r="D11" i="15"/>
  <c r="D12" i="15"/>
  <c r="D13" i="15"/>
  <c r="D14" i="15"/>
  <c r="D15" i="15"/>
  <c r="D16" i="15"/>
  <c r="D4" i="15"/>
  <c r="D19" i="14"/>
  <c r="D20" i="14"/>
  <c r="D21" i="14"/>
  <c r="D22" i="14"/>
  <c r="D23" i="14"/>
  <c r="D24" i="14"/>
  <c r="D25" i="14"/>
  <c r="D18" i="14"/>
  <c r="D5" i="14"/>
  <c r="D6" i="14"/>
  <c r="D7" i="14"/>
  <c r="D8" i="14"/>
  <c r="D9" i="14"/>
  <c r="D10" i="14"/>
  <c r="D11" i="14"/>
  <c r="D12" i="14"/>
  <c r="D13" i="14"/>
  <c r="D14" i="14"/>
  <c r="D15" i="14"/>
  <c r="D16" i="14"/>
  <c r="D4" i="14"/>
  <c r="D19" i="13"/>
  <c r="D20" i="13"/>
  <c r="D21" i="13"/>
  <c r="D22" i="13"/>
  <c r="D23" i="13"/>
  <c r="D24" i="13"/>
  <c r="D25" i="13"/>
  <c r="D18" i="13"/>
  <c r="D5" i="13"/>
  <c r="D6" i="13"/>
  <c r="D7" i="13"/>
  <c r="D8" i="13"/>
  <c r="D9" i="13"/>
  <c r="D10" i="13"/>
  <c r="D11" i="13"/>
  <c r="D12" i="13"/>
  <c r="D13" i="13"/>
  <c r="D14" i="13"/>
  <c r="D15" i="13"/>
  <c r="D16" i="13"/>
  <c r="D4" i="13"/>
  <c r="D19" i="12"/>
  <c r="D20" i="12"/>
  <c r="D21" i="12"/>
  <c r="D22" i="12"/>
  <c r="D23" i="12"/>
  <c r="D24" i="12"/>
  <c r="D25" i="12"/>
  <c r="D18" i="12"/>
  <c r="D5" i="12"/>
  <c r="D6" i="12"/>
  <c r="D7" i="12"/>
  <c r="D8" i="12"/>
  <c r="D9" i="12"/>
  <c r="D10" i="12"/>
  <c r="D11" i="12"/>
  <c r="D12" i="12"/>
  <c r="D13" i="12"/>
  <c r="D14" i="12"/>
  <c r="D15" i="12"/>
  <c r="D16" i="12"/>
  <c r="D4" i="12"/>
  <c r="D19" i="11"/>
  <c r="D20" i="11"/>
  <c r="D21" i="11"/>
  <c r="D22" i="11"/>
  <c r="D23" i="11"/>
  <c r="D24" i="11"/>
  <c r="D25" i="11"/>
  <c r="D18" i="11"/>
  <c r="D5" i="11"/>
  <c r="D6" i="11"/>
  <c r="D7" i="11"/>
  <c r="D8" i="11"/>
  <c r="D9" i="11"/>
  <c r="D10" i="11"/>
  <c r="D11" i="11"/>
  <c r="D12" i="11"/>
  <c r="D13" i="11"/>
  <c r="D14" i="11"/>
  <c r="D15" i="11"/>
  <c r="D16" i="11"/>
  <c r="D4" i="11"/>
  <c r="D19" i="10"/>
  <c r="D20" i="10"/>
  <c r="D21" i="10"/>
  <c r="D22" i="10"/>
  <c r="D23" i="10"/>
  <c r="D24" i="10"/>
  <c r="D25" i="10"/>
  <c r="D18" i="10"/>
  <c r="D5" i="10"/>
  <c r="D6" i="10"/>
  <c r="D7" i="10"/>
  <c r="D8" i="10"/>
  <c r="D9" i="10"/>
  <c r="D10" i="10"/>
  <c r="D11" i="10"/>
  <c r="D12" i="10"/>
  <c r="D13" i="10"/>
  <c r="D14" i="10"/>
  <c r="D15" i="10"/>
  <c r="D16" i="10"/>
  <c r="D4" i="10"/>
  <c r="D19" i="9"/>
  <c r="D20" i="9"/>
  <c r="D21" i="9"/>
  <c r="D22" i="9"/>
  <c r="D23" i="9"/>
  <c r="D24" i="9"/>
  <c r="D25" i="9"/>
  <c r="D18" i="9"/>
  <c r="D5" i="9"/>
  <c r="D6" i="9"/>
  <c r="D7" i="9"/>
  <c r="D8" i="9"/>
  <c r="D9" i="9"/>
  <c r="D10" i="9"/>
  <c r="D11" i="9"/>
  <c r="D12" i="9"/>
  <c r="D13" i="9"/>
  <c r="D14" i="9"/>
  <c r="D15" i="9"/>
  <c r="D16" i="9"/>
  <c r="D4" i="9"/>
  <c r="D19" i="8"/>
  <c r="D20" i="8"/>
  <c r="D21" i="8"/>
  <c r="D22" i="8"/>
  <c r="D23" i="8"/>
  <c r="D24" i="8"/>
  <c r="D25" i="8"/>
  <c r="D18" i="8"/>
  <c r="D5" i="8"/>
  <c r="D6" i="8"/>
  <c r="D7" i="8"/>
  <c r="D8" i="8"/>
  <c r="D9" i="8"/>
  <c r="D10" i="8"/>
  <c r="D11" i="8"/>
  <c r="D12" i="8"/>
  <c r="D13" i="8"/>
  <c r="D14" i="8"/>
  <c r="D15" i="8"/>
  <c r="D16" i="8"/>
  <c r="D4" i="8"/>
  <c r="E27" i="24"/>
  <c r="F27" i="24" s="1"/>
  <c r="D9" i="25"/>
  <c r="C40" i="21"/>
  <c r="F9" i="21"/>
  <c r="B23" i="24" l="1"/>
  <c r="B24" i="24"/>
  <c r="B25" i="24"/>
  <c r="B26" i="24"/>
  <c r="B28" i="24"/>
  <c r="B29" i="24"/>
  <c r="B30" i="24"/>
  <c r="B31" i="24"/>
  <c r="B32" i="24"/>
  <c r="B33" i="24"/>
  <c r="B34" i="24"/>
  <c r="B35" i="24"/>
  <c r="B36" i="24"/>
  <c r="B37" i="24"/>
  <c r="B38" i="24"/>
  <c r="B42" i="24"/>
  <c r="B43" i="24"/>
  <c r="B44" i="24"/>
  <c r="B45" i="24"/>
  <c r="B46" i="24"/>
  <c r="B47" i="24"/>
  <c r="B48" i="24"/>
  <c r="B49" i="24"/>
  <c r="B50" i="24"/>
  <c r="B51" i="24"/>
  <c r="B52" i="24"/>
  <c r="B53" i="24"/>
  <c r="B54" i="24"/>
  <c r="B22" i="24"/>
  <c r="B5" i="24"/>
  <c r="B6" i="24"/>
  <c r="B4" i="24"/>
  <c r="B12" i="24"/>
  <c r="B13" i="24"/>
  <c r="B14" i="24"/>
  <c r="B15" i="24"/>
  <c r="B16" i="24"/>
  <c r="B17" i="24"/>
  <c r="B18" i="24"/>
  <c r="B11" i="24"/>
  <c r="D6" i="24"/>
  <c r="D5" i="24"/>
  <c r="D4" i="24"/>
  <c r="D18" i="24"/>
  <c r="D12" i="24"/>
  <c r="D13" i="24"/>
  <c r="D14" i="24"/>
  <c r="D15" i="24"/>
  <c r="D16" i="24"/>
  <c r="D17" i="24"/>
  <c r="D11" i="24"/>
  <c r="C5" i="24"/>
  <c r="C6" i="24"/>
  <c r="C4" i="24"/>
  <c r="C12" i="24"/>
  <c r="C13" i="24"/>
  <c r="C14" i="24"/>
  <c r="C15" i="24"/>
  <c r="C16" i="24"/>
  <c r="C17" i="24"/>
  <c r="C18" i="24"/>
  <c r="C11" i="24"/>
  <c r="E20" i="23" l="1"/>
  <c r="F9" i="25"/>
  <c r="E74" i="24" l="1"/>
  <c r="F17" i="24"/>
  <c r="E35" i="23"/>
  <c r="E17" i="23"/>
  <c r="E13" i="23"/>
  <c r="E12" i="23"/>
  <c r="F17" i="1"/>
  <c r="E10" i="25" l="1"/>
  <c r="C20" i="25"/>
  <c r="C18" i="25"/>
  <c r="C19" i="25" s="1"/>
  <c r="C17" i="25"/>
  <c r="E38" i="1" s="1"/>
  <c r="D8" i="25"/>
  <c r="F8" i="25" s="1"/>
  <c r="D5" i="25"/>
  <c r="F5" i="25" s="1"/>
  <c r="D6" i="25"/>
  <c r="F6" i="25" s="1"/>
  <c r="D7" i="25"/>
  <c r="F7" i="25" s="1"/>
  <c r="D4" i="25"/>
  <c r="F4" i="25" s="1"/>
  <c r="E11" i="25"/>
  <c r="D10" i="25"/>
  <c r="C10" i="25"/>
  <c r="F10" i="25" l="1"/>
  <c r="D10" i="23"/>
  <c r="D11" i="23"/>
  <c r="D12" i="23"/>
  <c r="D13" i="23"/>
  <c r="D17" i="23"/>
  <c r="D19" i="23"/>
  <c r="D20" i="23"/>
  <c r="D74" i="24" s="1"/>
  <c r="F74" i="24" s="1"/>
  <c r="D21" i="23"/>
  <c r="D22" i="23"/>
  <c r="D23" i="23"/>
  <c r="D27" i="23"/>
  <c r="D29" i="23"/>
  <c r="D36" i="23"/>
  <c r="D37" i="23"/>
  <c r="D38" i="23"/>
  <c r="D39" i="23"/>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58" i="24"/>
  <c r="C74" i="24"/>
  <c r="C58" i="24"/>
  <c r="D23" i="24"/>
  <c r="D24" i="24"/>
  <c r="D25" i="24"/>
  <c r="D26" i="24"/>
  <c r="D28" i="24"/>
  <c r="D29" i="24"/>
  <c r="D30" i="24"/>
  <c r="D31" i="24"/>
  <c r="D32" i="24"/>
  <c r="D33" i="24"/>
  <c r="D34" i="24"/>
  <c r="D35" i="24"/>
  <c r="D36" i="24"/>
  <c r="D37" i="24"/>
  <c r="D38" i="24"/>
  <c r="D42" i="24"/>
  <c r="D43" i="24"/>
  <c r="D44" i="24"/>
  <c r="D45" i="24"/>
  <c r="D46" i="24"/>
  <c r="D47" i="24"/>
  <c r="D48" i="24"/>
  <c r="D49" i="24"/>
  <c r="D50" i="24"/>
  <c r="D51" i="24"/>
  <c r="D52" i="24"/>
  <c r="D53" i="24"/>
  <c r="D54" i="24"/>
  <c r="D22" i="24"/>
  <c r="C23" i="24"/>
  <c r="C24" i="24"/>
  <c r="C25" i="24"/>
  <c r="C26" i="24"/>
  <c r="C28" i="24"/>
  <c r="C29" i="24"/>
  <c r="C30" i="24"/>
  <c r="C31" i="24"/>
  <c r="C32" i="24"/>
  <c r="C33" i="24"/>
  <c r="C34" i="24"/>
  <c r="C35" i="24"/>
  <c r="C36" i="24"/>
  <c r="C37" i="24"/>
  <c r="C38" i="24"/>
  <c r="C42" i="24"/>
  <c r="C43" i="24"/>
  <c r="C44" i="24"/>
  <c r="C45" i="24"/>
  <c r="C46" i="24"/>
  <c r="C47" i="24"/>
  <c r="C48" i="24"/>
  <c r="C49" i="24"/>
  <c r="C50" i="24"/>
  <c r="C51" i="24"/>
  <c r="C52" i="24"/>
  <c r="C53" i="24"/>
  <c r="C54" i="24"/>
  <c r="C22" i="24"/>
  <c r="E37" i="24"/>
  <c r="E38" i="24"/>
  <c r="F20" i="20"/>
  <c r="F19" i="21"/>
  <c r="F20" i="21"/>
  <c r="F38" i="24" l="1"/>
  <c r="F20" i="23"/>
  <c r="F37" i="24"/>
  <c r="C65" i="24"/>
  <c r="C66" i="24"/>
  <c r="C67" i="24"/>
  <c r="C68" i="24"/>
  <c r="C69" i="24"/>
  <c r="C70" i="24"/>
  <c r="C71" i="24"/>
  <c r="C72" i="24"/>
  <c r="C73" i="24"/>
  <c r="C75" i="24"/>
  <c r="C76" i="24"/>
  <c r="C77" i="24"/>
  <c r="C78" i="24"/>
  <c r="C79" i="24"/>
  <c r="C80" i="24"/>
  <c r="C81" i="24"/>
  <c r="C82" i="24"/>
  <c r="C83" i="24"/>
  <c r="C84" i="24"/>
  <c r="C85" i="24"/>
  <c r="C86" i="24"/>
  <c r="C87" i="24"/>
  <c r="C88" i="24"/>
  <c r="C89" i="24"/>
  <c r="C90" i="24"/>
  <c r="C91" i="24"/>
  <c r="C92" i="24"/>
  <c r="C93" i="24"/>
  <c r="C64" i="24"/>
  <c r="C59" i="24"/>
  <c r="C60" i="24"/>
  <c r="C61" i="24"/>
  <c r="C62" i="24"/>
  <c r="C63" i="24"/>
  <c r="E23" i="24" l="1"/>
  <c r="E24" i="24"/>
  <c r="E25" i="24"/>
  <c r="E26" i="24"/>
  <c r="E28" i="24"/>
  <c r="E29" i="24"/>
  <c r="E30" i="24"/>
  <c r="E31" i="24"/>
  <c r="E32" i="24"/>
  <c r="E34" i="24"/>
  <c r="E36" i="24"/>
  <c r="E42" i="24"/>
  <c r="E43" i="24"/>
  <c r="E44" i="24"/>
  <c r="E48" i="24"/>
  <c r="E49" i="24"/>
  <c r="E50" i="24"/>
  <c r="E51" i="24"/>
  <c r="E52" i="24"/>
  <c r="E53" i="24"/>
  <c r="E54" i="24"/>
  <c r="E22" i="24"/>
  <c r="E36" i="23"/>
  <c r="E32" i="23"/>
  <c r="E31" i="23"/>
  <c r="E30" i="23"/>
  <c r="F33" i="24" l="1"/>
  <c r="F34" i="24"/>
  <c r="F35" i="24"/>
  <c r="F36" i="24"/>
  <c r="F42" i="24"/>
  <c r="F43" i="24"/>
  <c r="F32" i="24"/>
  <c r="E26" i="23"/>
  <c r="E80" i="24" s="1"/>
  <c r="F16" i="12"/>
  <c r="F16" i="11"/>
  <c r="F16" i="10"/>
  <c r="F16" i="9"/>
  <c r="F16" i="8"/>
  <c r="C44" i="20"/>
  <c r="C45" i="20" s="1"/>
  <c r="D31" i="20"/>
  <c r="D31" i="23" s="1"/>
  <c r="D32" i="20"/>
  <c r="D33" i="20"/>
  <c r="D34" i="20"/>
  <c r="D35" i="20"/>
  <c r="D30" i="20"/>
  <c r="D28" i="20"/>
  <c r="D25" i="20"/>
  <c r="D26" i="20"/>
  <c r="D26" i="23" s="1"/>
  <c r="D80" i="24" s="1"/>
  <c r="D24" i="20"/>
  <c r="D18" i="20"/>
  <c r="D18" i="23" s="1"/>
  <c r="D15" i="20"/>
  <c r="D16" i="20"/>
  <c r="D16" i="23" s="1"/>
  <c r="D14" i="20"/>
  <c r="D14" i="23" s="1"/>
  <c r="D5" i="20"/>
  <c r="D5" i="23" s="1"/>
  <c r="D6" i="20"/>
  <c r="D7" i="20"/>
  <c r="D7" i="23" s="1"/>
  <c r="D8" i="20"/>
  <c r="D9" i="20"/>
  <c r="D4" i="20"/>
  <c r="D4" i="23" s="1"/>
  <c r="C47" i="20"/>
  <c r="C43" i="20"/>
  <c r="F39" i="20"/>
  <c r="F38" i="20"/>
  <c r="F37" i="20"/>
  <c r="F36" i="20"/>
  <c r="F29" i="20"/>
  <c r="F27" i="20"/>
  <c r="E24" i="20"/>
  <c r="F23" i="20"/>
  <c r="F22" i="20"/>
  <c r="F21" i="20"/>
  <c r="F19" i="20"/>
  <c r="F17" i="20"/>
  <c r="F13" i="20"/>
  <c r="F12" i="20"/>
  <c r="F11" i="20"/>
  <c r="F10" i="20"/>
  <c r="F4" i="20"/>
  <c r="C33" i="19"/>
  <c r="C30" i="19"/>
  <c r="C31" i="19" s="1"/>
  <c r="C29" i="19"/>
  <c r="E37" i="1" s="1"/>
  <c r="F25" i="19"/>
  <c r="F24" i="19"/>
  <c r="F23" i="19"/>
  <c r="F22" i="19"/>
  <c r="F21" i="19"/>
  <c r="F20" i="19"/>
  <c r="F19" i="19"/>
  <c r="E18" i="19"/>
  <c r="F18" i="19" s="1"/>
  <c r="D17" i="19"/>
  <c r="C17" i="19"/>
  <c r="F16" i="19"/>
  <c r="F15" i="19"/>
  <c r="E14" i="19"/>
  <c r="F14" i="19" s="1"/>
  <c r="F13" i="19"/>
  <c r="F12" i="19"/>
  <c r="F11" i="19"/>
  <c r="F10" i="19"/>
  <c r="F9" i="19"/>
  <c r="F8" i="19"/>
  <c r="F7" i="19"/>
  <c r="F6" i="19"/>
  <c r="F5" i="19"/>
  <c r="F4" i="19"/>
  <c r="C33" i="18"/>
  <c r="C30" i="18"/>
  <c r="C31" i="18" s="1"/>
  <c r="C29" i="18"/>
  <c r="E36" i="1" s="1"/>
  <c r="F25" i="18"/>
  <c r="F24" i="18"/>
  <c r="F23" i="18"/>
  <c r="F22" i="18"/>
  <c r="F21" i="18"/>
  <c r="F20" i="18"/>
  <c r="F19" i="18"/>
  <c r="E18" i="18"/>
  <c r="F18" i="18" s="1"/>
  <c r="D17" i="18"/>
  <c r="F17" i="18" s="1"/>
  <c r="C17" i="18"/>
  <c r="F16" i="18"/>
  <c r="F15" i="18"/>
  <c r="E14" i="18"/>
  <c r="F14" i="18" s="1"/>
  <c r="F13" i="18"/>
  <c r="F12" i="18"/>
  <c r="F11" i="18"/>
  <c r="F10" i="18"/>
  <c r="F9" i="18"/>
  <c r="F8" i="18"/>
  <c r="F7" i="18"/>
  <c r="F6" i="18"/>
  <c r="F5" i="18"/>
  <c r="F4" i="18"/>
  <c r="C33" i="17"/>
  <c r="C30" i="17"/>
  <c r="C31" i="17" s="1"/>
  <c r="C29" i="17"/>
  <c r="E35" i="1" s="1"/>
  <c r="F25" i="17"/>
  <c r="F24" i="17"/>
  <c r="F23" i="17"/>
  <c r="F22" i="17"/>
  <c r="F21" i="17"/>
  <c r="F20" i="17"/>
  <c r="F19" i="17"/>
  <c r="E18" i="17"/>
  <c r="F18" i="17" s="1"/>
  <c r="D17" i="17"/>
  <c r="C17" i="17"/>
  <c r="F16" i="17"/>
  <c r="F15" i="17"/>
  <c r="E14" i="17"/>
  <c r="F14" i="17" s="1"/>
  <c r="F13" i="17"/>
  <c r="F12" i="17"/>
  <c r="F11" i="17"/>
  <c r="F10" i="17"/>
  <c r="F9" i="17"/>
  <c r="F8" i="17"/>
  <c r="F7" i="17"/>
  <c r="F6" i="17"/>
  <c r="F5" i="17"/>
  <c r="F4" i="17"/>
  <c r="C33" i="16"/>
  <c r="C30" i="16"/>
  <c r="C31" i="16" s="1"/>
  <c r="C29" i="16"/>
  <c r="E34" i="1" s="1"/>
  <c r="F25" i="16"/>
  <c r="F24" i="16"/>
  <c r="F23" i="16"/>
  <c r="F22" i="16"/>
  <c r="F21" i="16"/>
  <c r="F20" i="16"/>
  <c r="F19" i="16"/>
  <c r="E18" i="16"/>
  <c r="F18" i="16" s="1"/>
  <c r="D17" i="16"/>
  <c r="C17" i="16"/>
  <c r="F16" i="16"/>
  <c r="F15" i="16"/>
  <c r="E14" i="16"/>
  <c r="F14" i="16" s="1"/>
  <c r="F13" i="16"/>
  <c r="F12" i="16"/>
  <c r="F11" i="16"/>
  <c r="F10" i="16"/>
  <c r="F9" i="16"/>
  <c r="F8" i="16"/>
  <c r="F7" i="16"/>
  <c r="F6" i="16"/>
  <c r="F5" i="16"/>
  <c r="F4" i="16"/>
  <c r="C33" i="15"/>
  <c r="C52" i="1"/>
  <c r="C30" i="15"/>
  <c r="C31" i="15" s="1"/>
  <c r="C29" i="15"/>
  <c r="E33" i="1" s="1"/>
  <c r="F25" i="15"/>
  <c r="F24" i="15"/>
  <c r="F23" i="15"/>
  <c r="F22" i="15"/>
  <c r="F21" i="15"/>
  <c r="F20" i="15"/>
  <c r="F19" i="15"/>
  <c r="E18" i="15"/>
  <c r="F18" i="15" s="1"/>
  <c r="D17" i="15"/>
  <c r="C17" i="15"/>
  <c r="F16" i="15"/>
  <c r="F15" i="15"/>
  <c r="E14" i="15"/>
  <c r="F14" i="15" s="1"/>
  <c r="F13" i="15"/>
  <c r="F12" i="15"/>
  <c r="F11" i="15"/>
  <c r="F10" i="15"/>
  <c r="F9" i="15"/>
  <c r="F8" i="15"/>
  <c r="F7" i="15"/>
  <c r="F6" i="15"/>
  <c r="F5" i="15"/>
  <c r="F4" i="15"/>
  <c r="C33" i="14"/>
  <c r="C30" i="14"/>
  <c r="C31" i="14" s="1"/>
  <c r="C29" i="14"/>
  <c r="E32" i="1" s="1"/>
  <c r="F25" i="14"/>
  <c r="F24" i="14"/>
  <c r="F23" i="14"/>
  <c r="F22" i="14"/>
  <c r="F21" i="14"/>
  <c r="F20" i="14"/>
  <c r="F19" i="14"/>
  <c r="E18" i="14"/>
  <c r="F18" i="14" s="1"/>
  <c r="D17" i="14"/>
  <c r="C17" i="14"/>
  <c r="F16" i="14"/>
  <c r="F15" i="14"/>
  <c r="E14" i="14"/>
  <c r="F14" i="14" s="1"/>
  <c r="F13" i="14"/>
  <c r="F12" i="14"/>
  <c r="F11" i="14"/>
  <c r="F10" i="14"/>
  <c r="F9" i="14"/>
  <c r="F8" i="14"/>
  <c r="F7" i="14"/>
  <c r="F6" i="14"/>
  <c r="F5" i="14"/>
  <c r="F4" i="14"/>
  <c r="C33" i="13"/>
  <c r="C30" i="13"/>
  <c r="C31" i="13" s="1"/>
  <c r="C29" i="13"/>
  <c r="E31" i="1" s="1"/>
  <c r="F25" i="13"/>
  <c r="F24" i="13"/>
  <c r="F23" i="13"/>
  <c r="F22" i="13"/>
  <c r="F21" i="13"/>
  <c r="F20" i="13"/>
  <c r="F19" i="13"/>
  <c r="E18" i="13"/>
  <c r="F18" i="13" s="1"/>
  <c r="D17" i="13"/>
  <c r="C17" i="13"/>
  <c r="F16" i="13"/>
  <c r="F15" i="13"/>
  <c r="E14" i="13"/>
  <c r="F14" i="13" s="1"/>
  <c r="F13" i="13"/>
  <c r="F12" i="13"/>
  <c r="F11" i="13"/>
  <c r="F10" i="13"/>
  <c r="F9" i="13"/>
  <c r="F8" i="13"/>
  <c r="F7" i="13"/>
  <c r="F6" i="13"/>
  <c r="F5" i="13"/>
  <c r="F4" i="13"/>
  <c r="F16" i="7"/>
  <c r="C33" i="12"/>
  <c r="C30" i="12"/>
  <c r="C31" i="12" s="1"/>
  <c r="C29" i="12"/>
  <c r="E30" i="1" s="1"/>
  <c r="F25" i="12"/>
  <c r="F24" i="12"/>
  <c r="F23" i="12"/>
  <c r="F22" i="12"/>
  <c r="F21" i="12"/>
  <c r="F20" i="12"/>
  <c r="F19" i="12"/>
  <c r="E18" i="12"/>
  <c r="F18" i="12" s="1"/>
  <c r="D17" i="12"/>
  <c r="C17" i="12"/>
  <c r="F15" i="12"/>
  <c r="E14" i="12"/>
  <c r="F14" i="12" s="1"/>
  <c r="F13" i="12"/>
  <c r="F12" i="12"/>
  <c r="F11" i="12"/>
  <c r="F10" i="12"/>
  <c r="F9" i="12"/>
  <c r="F8" i="12"/>
  <c r="F7" i="12"/>
  <c r="F6" i="12"/>
  <c r="F5" i="12"/>
  <c r="F4" i="12"/>
  <c r="C33" i="11"/>
  <c r="C30" i="11"/>
  <c r="C31" i="11" s="1"/>
  <c r="C29" i="11"/>
  <c r="E29" i="1" s="1"/>
  <c r="F25" i="11"/>
  <c r="F24" i="11"/>
  <c r="F23" i="11"/>
  <c r="F22" i="11"/>
  <c r="F21" i="11"/>
  <c r="F20" i="11"/>
  <c r="F19" i="11"/>
  <c r="E18" i="11"/>
  <c r="F18" i="11" s="1"/>
  <c r="D17" i="11"/>
  <c r="C17" i="11"/>
  <c r="F15" i="11"/>
  <c r="E14" i="11"/>
  <c r="F14" i="11" s="1"/>
  <c r="F13" i="11"/>
  <c r="F12" i="11"/>
  <c r="F11" i="11"/>
  <c r="F10" i="11"/>
  <c r="F9" i="11"/>
  <c r="F8" i="11"/>
  <c r="F7" i="11"/>
  <c r="F6" i="11"/>
  <c r="F5" i="11"/>
  <c r="F4" i="11"/>
  <c r="C33" i="10"/>
  <c r="C30" i="10"/>
  <c r="C31" i="10" s="1"/>
  <c r="C29" i="10"/>
  <c r="E28" i="1" s="1"/>
  <c r="F25" i="10"/>
  <c r="F24" i="10"/>
  <c r="F23" i="10"/>
  <c r="F22" i="10"/>
  <c r="F21" i="10"/>
  <c r="F20" i="10"/>
  <c r="F19" i="10"/>
  <c r="E18" i="10"/>
  <c r="F18" i="10" s="1"/>
  <c r="D17" i="10"/>
  <c r="C17" i="10"/>
  <c r="F15" i="10"/>
  <c r="E14" i="10"/>
  <c r="F14" i="10" s="1"/>
  <c r="F13" i="10"/>
  <c r="F12" i="10"/>
  <c r="F11" i="10"/>
  <c r="F10" i="10"/>
  <c r="F9" i="10"/>
  <c r="F8" i="10"/>
  <c r="F7" i="10"/>
  <c r="F6" i="10"/>
  <c r="F5" i="10"/>
  <c r="F4" i="10"/>
  <c r="C33" i="9"/>
  <c r="C30" i="9"/>
  <c r="C31" i="9" s="1"/>
  <c r="C29" i="9"/>
  <c r="E27" i="1" s="1"/>
  <c r="F25" i="9"/>
  <c r="F24" i="9"/>
  <c r="F23" i="9"/>
  <c r="F22" i="9"/>
  <c r="F21" i="9"/>
  <c r="F20" i="9"/>
  <c r="F19" i="9"/>
  <c r="E18" i="9"/>
  <c r="F18" i="9" s="1"/>
  <c r="D17" i="9"/>
  <c r="C17" i="9"/>
  <c r="F15" i="9"/>
  <c r="E14" i="9"/>
  <c r="F14" i="9" s="1"/>
  <c r="F13" i="9"/>
  <c r="F12" i="9"/>
  <c r="F11" i="9"/>
  <c r="F10" i="9"/>
  <c r="F9" i="9"/>
  <c r="F8" i="9"/>
  <c r="F7" i="9"/>
  <c r="F6" i="9"/>
  <c r="F5" i="9"/>
  <c r="F4" i="9"/>
  <c r="C33" i="8"/>
  <c r="C30" i="8"/>
  <c r="C31" i="8" s="1"/>
  <c r="C29" i="8"/>
  <c r="E26" i="1" s="1"/>
  <c r="F25" i="8"/>
  <c r="F24" i="8"/>
  <c r="F23" i="8"/>
  <c r="F22" i="8"/>
  <c r="F21" i="8"/>
  <c r="F20" i="8"/>
  <c r="F19" i="8"/>
  <c r="E18" i="8"/>
  <c r="F18" i="8" s="1"/>
  <c r="D17" i="8"/>
  <c r="C17" i="8"/>
  <c r="F15" i="8"/>
  <c r="E14" i="8"/>
  <c r="F14" i="8" s="1"/>
  <c r="F13" i="8"/>
  <c r="F12" i="8"/>
  <c r="F11" i="8"/>
  <c r="F10" i="8"/>
  <c r="F9" i="8"/>
  <c r="F8" i="8"/>
  <c r="F7" i="8"/>
  <c r="F6" i="8"/>
  <c r="F5" i="8"/>
  <c r="F4" i="8"/>
  <c r="C30" i="7"/>
  <c r="C29" i="7"/>
  <c r="F17" i="19" l="1"/>
  <c r="C50" i="1"/>
  <c r="F7" i="20"/>
  <c r="F16" i="20"/>
  <c r="F9" i="20"/>
  <c r="D9" i="23"/>
  <c r="F26" i="20"/>
  <c r="F8" i="20"/>
  <c r="D8" i="23"/>
  <c r="F25" i="20"/>
  <c r="D25" i="23"/>
  <c r="F18" i="20"/>
  <c r="F31" i="20"/>
  <c r="D11" i="25"/>
  <c r="F11" i="25" s="1"/>
  <c r="D28" i="23"/>
  <c r="F33" i="20"/>
  <c r="D33" i="23"/>
  <c r="D13" i="25"/>
  <c r="F13" i="25" s="1"/>
  <c r="D35" i="23"/>
  <c r="F5" i="20"/>
  <c r="F34" i="20"/>
  <c r="D12" i="25"/>
  <c r="F12" i="25" s="1"/>
  <c r="D34" i="23"/>
  <c r="F14" i="20"/>
  <c r="F35" i="20"/>
  <c r="F6" i="20"/>
  <c r="D6" i="23"/>
  <c r="F15" i="20"/>
  <c r="D15" i="23"/>
  <c r="F24" i="20"/>
  <c r="D24" i="23"/>
  <c r="F30" i="20"/>
  <c r="D30" i="23"/>
  <c r="F32" i="20"/>
  <c r="D32" i="23"/>
  <c r="F26" i="23"/>
  <c r="F80" i="24"/>
  <c r="F28" i="20"/>
  <c r="F26" i="18"/>
  <c r="F36" i="1" s="1"/>
  <c r="F26" i="19"/>
  <c r="F37" i="1" s="1"/>
  <c r="F17" i="17"/>
  <c r="F26" i="17" s="1"/>
  <c r="F35" i="1" s="1"/>
  <c r="F17" i="16"/>
  <c r="F26" i="16" s="1"/>
  <c r="F34" i="1" s="1"/>
  <c r="F17" i="15"/>
  <c r="F26" i="15" s="1"/>
  <c r="F33" i="1" s="1"/>
  <c r="F17" i="14"/>
  <c r="F26" i="14" s="1"/>
  <c r="F32" i="1" s="1"/>
  <c r="F17" i="13"/>
  <c r="F26" i="13" s="1"/>
  <c r="F31" i="1" s="1"/>
  <c r="F17" i="12"/>
  <c r="F26" i="12" s="1"/>
  <c r="F30" i="1" s="1"/>
  <c r="F17" i="11"/>
  <c r="F26" i="11" s="1"/>
  <c r="F29" i="1" s="1"/>
  <c r="F17" i="10"/>
  <c r="F26" i="10" s="1"/>
  <c r="F28" i="1" s="1"/>
  <c r="F17" i="9"/>
  <c r="F26" i="9" s="1"/>
  <c r="F27" i="1" s="1"/>
  <c r="F17" i="8"/>
  <c r="F26" i="8" s="1"/>
  <c r="F26" i="1" s="1"/>
  <c r="F40" i="20" l="1"/>
  <c r="F14" i="25"/>
  <c r="F38" i="1" s="1"/>
  <c r="F36" i="21"/>
  <c r="F35" i="21"/>
  <c r="F34" i="21"/>
  <c r="F33" i="21"/>
  <c r="F32" i="21"/>
  <c r="F31" i="21"/>
  <c r="F30" i="21"/>
  <c r="F29" i="21"/>
  <c r="F28" i="21"/>
  <c r="F27" i="21"/>
  <c r="F26" i="21"/>
  <c r="F25" i="21"/>
  <c r="F24" i="21"/>
  <c r="F18" i="21"/>
  <c r="F17" i="21"/>
  <c r="F16" i="21"/>
  <c r="F15" i="21"/>
  <c r="F14" i="21"/>
  <c r="F13" i="21"/>
  <c r="F12" i="21"/>
  <c r="F11" i="21"/>
  <c r="F10" i="21"/>
  <c r="F8" i="21"/>
  <c r="F7" i="21"/>
  <c r="F6" i="21"/>
  <c r="F5" i="21"/>
  <c r="F4" i="21"/>
  <c r="F37" i="21" l="1"/>
  <c r="F30" i="24"/>
  <c r="D64" i="24" l="1"/>
  <c r="D65" i="24"/>
  <c r="D66" i="24"/>
  <c r="D67" i="24"/>
  <c r="D73" i="24"/>
  <c r="D75" i="24"/>
  <c r="D76" i="24"/>
  <c r="D77" i="24"/>
  <c r="D81" i="24"/>
  <c r="D90" i="24"/>
  <c r="D91" i="24"/>
  <c r="D92" i="24"/>
  <c r="D93" i="24"/>
  <c r="E6" i="24"/>
  <c r="F6" i="24" s="1"/>
  <c r="A1" i="24"/>
  <c r="F23" i="24"/>
  <c r="F24" i="24"/>
  <c r="F25" i="24"/>
  <c r="F26" i="24"/>
  <c r="F28" i="24"/>
  <c r="F29" i="24"/>
  <c r="F31" i="24"/>
  <c r="F44" i="24"/>
  <c r="F45" i="24"/>
  <c r="F46" i="24"/>
  <c r="F47" i="24"/>
  <c r="F48" i="24"/>
  <c r="F49" i="24"/>
  <c r="F50" i="24"/>
  <c r="F51" i="24"/>
  <c r="F52" i="24"/>
  <c r="F53" i="24"/>
  <c r="F54" i="24"/>
  <c r="F22" i="24"/>
  <c r="E12" i="24"/>
  <c r="F12" i="24" s="1"/>
  <c r="E13" i="24"/>
  <c r="F13" i="24" s="1"/>
  <c r="E14" i="24"/>
  <c r="F14" i="24" s="1"/>
  <c r="E15" i="24"/>
  <c r="F15" i="24" s="1"/>
  <c r="E16" i="24"/>
  <c r="F16" i="24" s="1"/>
  <c r="E18" i="24"/>
  <c r="F18" i="24" s="1"/>
  <c r="E11" i="24"/>
  <c r="F11" i="24" s="1"/>
  <c r="F4" i="24"/>
  <c r="F55" i="24" l="1"/>
  <c r="D17" i="7"/>
  <c r="C17" i="7"/>
  <c r="C33" i="7" l="1"/>
  <c r="C53" i="1" s="1"/>
  <c r="D62" i="24" l="1"/>
  <c r="E62" i="24"/>
  <c r="F62" i="24" l="1"/>
  <c r="F8" i="23"/>
  <c r="F16" i="1" l="1"/>
  <c r="E29" i="23" l="1"/>
  <c r="E37" i="23"/>
  <c r="E38" i="23"/>
  <c r="E39" i="23"/>
  <c r="E86" i="24"/>
  <c r="E85" i="24"/>
  <c r="E84" i="24"/>
  <c r="F19" i="7"/>
  <c r="E72" i="24"/>
  <c r="E71" i="24"/>
  <c r="E15" i="23"/>
  <c r="E69" i="24" s="1"/>
  <c r="E14" i="23"/>
  <c r="E68" i="24" s="1"/>
  <c r="E19" i="23"/>
  <c r="E21" i="23"/>
  <c r="E22" i="23"/>
  <c r="E23" i="23"/>
  <c r="E6" i="23"/>
  <c r="E60" i="24" s="1"/>
  <c r="E61" i="24"/>
  <c r="E63" i="24"/>
  <c r="E4" i="23"/>
  <c r="E58" i="24" s="1"/>
  <c r="D89" i="24"/>
  <c r="D88" i="24"/>
  <c r="D87" i="24"/>
  <c r="D86" i="24"/>
  <c r="D85" i="24"/>
  <c r="D84" i="24"/>
  <c r="D82" i="24"/>
  <c r="D79" i="24"/>
  <c r="D78" i="24"/>
  <c r="D72" i="24"/>
  <c r="D71" i="24"/>
  <c r="D70" i="24"/>
  <c r="D69" i="24"/>
  <c r="D68" i="24"/>
  <c r="D63" i="24"/>
  <c r="D61" i="24"/>
  <c r="D60" i="24"/>
  <c r="D59" i="24"/>
  <c r="D58" i="24"/>
  <c r="F88" i="24" l="1"/>
  <c r="F72" i="24"/>
  <c r="F60" i="24"/>
  <c r="F22" i="23"/>
  <c r="E76" i="24"/>
  <c r="F76" i="24" s="1"/>
  <c r="F39" i="23"/>
  <c r="E93" i="24"/>
  <c r="F93" i="24" s="1"/>
  <c r="F23" i="23"/>
  <c r="E77" i="24"/>
  <c r="F77" i="24" s="1"/>
  <c r="F10" i="23"/>
  <c r="E64" i="24"/>
  <c r="F64" i="24" s="1"/>
  <c r="F21" i="23"/>
  <c r="E75" i="24"/>
  <c r="F75" i="24" s="1"/>
  <c r="F38" i="23"/>
  <c r="E92" i="24"/>
  <c r="F92" i="24" s="1"/>
  <c r="F13" i="23"/>
  <c r="E67" i="24"/>
  <c r="F67" i="24" s="1"/>
  <c r="F19" i="23"/>
  <c r="E73" i="24"/>
  <c r="F73" i="24" s="1"/>
  <c r="F37" i="23"/>
  <c r="E91" i="24"/>
  <c r="F91" i="24" s="1"/>
  <c r="F12" i="23"/>
  <c r="E66" i="24"/>
  <c r="F66" i="24" s="1"/>
  <c r="F11" i="23"/>
  <c r="E65" i="24"/>
  <c r="F65" i="24" s="1"/>
  <c r="F59" i="24"/>
  <c r="F86" i="24"/>
  <c r="F69" i="24"/>
  <c r="F85" i="24"/>
  <c r="F61" i="24"/>
  <c r="F87" i="24"/>
  <c r="F58" i="24"/>
  <c r="F70" i="24"/>
  <c r="F63" i="24"/>
  <c r="F68" i="24"/>
  <c r="F36" i="23"/>
  <c r="E90" i="24"/>
  <c r="F90" i="24" s="1"/>
  <c r="F84" i="24"/>
  <c r="F71" i="24"/>
  <c r="F89" i="24"/>
  <c r="F29" i="23"/>
  <c r="E83" i="24"/>
  <c r="F83" i="24" s="1"/>
  <c r="F9" i="23"/>
  <c r="F33" i="23"/>
  <c r="F32" i="23"/>
  <c r="F35" i="23"/>
  <c r="F34" i="23"/>
  <c r="F31" i="23"/>
  <c r="F30" i="23"/>
  <c r="F18" i="23"/>
  <c r="F16" i="23"/>
  <c r="F15" i="23"/>
  <c r="F17" i="23"/>
  <c r="F14" i="23"/>
  <c r="F5" i="23"/>
  <c r="F6" i="23"/>
  <c r="F7" i="23"/>
  <c r="F4" i="23"/>
  <c r="C48" i="23" l="1"/>
  <c r="E39" i="1" l="1"/>
  <c r="F24" i="7"/>
  <c r="E22" i="1"/>
  <c r="F15" i="1"/>
  <c r="A1" i="8"/>
  <c r="A1" i="20"/>
  <c r="F12" i="1"/>
  <c r="F13" i="1"/>
  <c r="F14" i="1"/>
  <c r="A1" i="7"/>
  <c r="F4" i="7"/>
  <c r="F5" i="7"/>
  <c r="F6" i="7"/>
  <c r="F7" i="7"/>
  <c r="F8" i="7"/>
  <c r="F9" i="7"/>
  <c r="F10" i="7"/>
  <c r="F11" i="7"/>
  <c r="F12" i="7"/>
  <c r="F13" i="7"/>
  <c r="F14" i="7"/>
  <c r="F15" i="7"/>
  <c r="F20" i="7"/>
  <c r="F21" i="7"/>
  <c r="F22" i="7"/>
  <c r="F23" i="7"/>
  <c r="F25" i="7"/>
  <c r="E25" i="1"/>
  <c r="C31" i="7"/>
  <c r="C51" i="1" s="1"/>
  <c r="A1" i="9"/>
  <c r="A1" i="10"/>
  <c r="A1" i="11"/>
  <c r="A1" i="12"/>
  <c r="A1" i="13"/>
  <c r="A1" i="14"/>
  <c r="A1" i="15"/>
  <c r="A1" i="16"/>
  <c r="A1" i="17"/>
  <c r="A1" i="18"/>
  <c r="A1" i="19"/>
  <c r="F11" i="1"/>
  <c r="F4" i="1"/>
  <c r="F6" i="1"/>
  <c r="F22" i="1" l="1"/>
  <c r="E25" i="23"/>
  <c r="E24" i="23"/>
  <c r="F17" i="7"/>
  <c r="C45" i="23"/>
  <c r="C47" i="23"/>
  <c r="C46" i="23"/>
  <c r="C49" i="1"/>
  <c r="F25" i="23" l="1"/>
  <c r="E79" i="24"/>
  <c r="F79" i="24" s="1"/>
  <c r="F27" i="23"/>
  <c r="F81" i="24"/>
  <c r="F24" i="23"/>
  <c r="E78" i="24"/>
  <c r="F78" i="24" s="1"/>
  <c r="E5" i="1"/>
  <c r="C44" i="23"/>
  <c r="F18" i="7"/>
  <c r="F26" i="7" s="1"/>
  <c r="F25" i="1" s="1"/>
  <c r="F39" i="1"/>
  <c r="F28" i="23" l="1"/>
  <c r="F40" i="23" s="1"/>
  <c r="F82" i="24"/>
  <c r="F94" i="24" s="1"/>
  <c r="F5" i="1"/>
  <c r="F5" i="24"/>
  <c r="F19" i="24" s="1"/>
  <c r="F40" i="1"/>
  <c r="F18" i="1"/>
  <c r="F97" i="24" l="1"/>
  <c r="F19" i="1"/>
  <c r="F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E5" authorId="0" shapeId="0" xr:uid="{00000000-0006-0000-0000-000001000000}">
      <text>
        <r>
          <rPr>
            <b/>
            <sz val="9"/>
            <color indexed="81"/>
            <rFont val="Tahoma"/>
            <family val="2"/>
          </rPr>
          <t>Mark Lynch:</t>
        </r>
        <r>
          <rPr>
            <sz val="9"/>
            <color indexed="81"/>
            <rFont val="Tahoma"/>
            <family val="2"/>
          </rPr>
          <t xml:space="preserve">
Automatically calculated from number of readers</t>
        </r>
      </text>
    </comment>
    <comment ref="E11" authorId="0" shapeId="0" xr:uid="{00000000-0006-0000-0000-000002000000}">
      <text>
        <r>
          <rPr>
            <b/>
            <sz val="9"/>
            <color indexed="81"/>
            <rFont val="Tahoma"/>
            <family val="2"/>
          </rPr>
          <t>Mark Lynch:</t>
        </r>
        <r>
          <rPr>
            <sz val="9"/>
            <color indexed="81"/>
            <rFont val="Tahoma"/>
            <family val="2"/>
          </rPr>
          <t xml:space="preserve">
Only 1 per site</t>
        </r>
      </text>
    </comment>
    <comment ref="E12" authorId="0" shapeId="0" xr:uid="{00000000-0006-0000-0000-000003000000}">
      <text>
        <r>
          <rPr>
            <b/>
            <sz val="9"/>
            <color indexed="81"/>
            <rFont val="Tahoma"/>
            <family val="2"/>
          </rPr>
          <t>Mark Lynch:</t>
        </r>
        <r>
          <rPr>
            <sz val="9"/>
            <color indexed="81"/>
            <rFont val="Tahoma"/>
            <family val="2"/>
          </rPr>
          <t xml:space="preserve">
Only 1 per site</t>
        </r>
      </text>
    </comment>
    <comment ref="E13" authorId="0" shapeId="0" xr:uid="{00000000-0006-0000-0000-000004000000}">
      <text>
        <r>
          <rPr>
            <b/>
            <sz val="9"/>
            <color indexed="81"/>
            <rFont val="Tahoma"/>
            <family val="2"/>
          </rPr>
          <t>Mark Lynch:</t>
        </r>
        <r>
          <rPr>
            <sz val="9"/>
            <color indexed="81"/>
            <rFont val="Tahoma"/>
            <family val="2"/>
          </rPr>
          <t xml:space="preserve">
Only 1 per site</t>
        </r>
      </text>
    </comment>
    <comment ref="E14" authorId="0" shapeId="0" xr:uid="{00000000-0006-0000-0000-000005000000}">
      <text>
        <r>
          <rPr>
            <b/>
            <sz val="9"/>
            <color indexed="81"/>
            <rFont val="Tahoma"/>
            <family val="2"/>
          </rPr>
          <t>Mark Lynch:</t>
        </r>
        <r>
          <rPr>
            <sz val="9"/>
            <color indexed="81"/>
            <rFont val="Tahoma"/>
            <family val="2"/>
          </rPr>
          <t xml:space="preserve">
Only 1 per site</t>
        </r>
      </text>
    </comment>
    <comment ref="E15" authorId="0" shapeId="0" xr:uid="{00000000-0006-0000-0000-000006000000}">
      <text>
        <r>
          <rPr>
            <b/>
            <sz val="9"/>
            <color indexed="81"/>
            <rFont val="Tahoma"/>
            <family val="2"/>
          </rPr>
          <t>Mark Lynch:</t>
        </r>
        <r>
          <rPr>
            <sz val="9"/>
            <color indexed="81"/>
            <rFont val="Tahoma"/>
            <family val="2"/>
          </rPr>
          <t xml:space="preserve">
Only 1 per site</t>
        </r>
      </text>
    </comment>
    <comment ref="E16" authorId="0" shapeId="0" xr:uid="{00000000-0006-0000-0000-000007000000}">
      <text>
        <r>
          <rPr>
            <b/>
            <sz val="9"/>
            <color indexed="81"/>
            <rFont val="Tahoma"/>
            <family val="2"/>
          </rPr>
          <t>Mark Lynch:</t>
        </r>
        <r>
          <rPr>
            <sz val="9"/>
            <color indexed="81"/>
            <rFont val="Tahoma"/>
            <family val="2"/>
          </rPr>
          <t xml:space="preserve">
Only 1 per site</t>
        </r>
      </text>
    </comment>
    <comment ref="E39" authorId="0" shapeId="0" xr:uid="{00000000-0006-0000-0000-000008000000}">
      <text>
        <r>
          <rPr>
            <b/>
            <sz val="9"/>
            <color indexed="81"/>
            <rFont val="Tahoma"/>
            <family val="2"/>
          </rPr>
          <t>Mark Lynch:</t>
        </r>
        <r>
          <rPr>
            <sz val="9"/>
            <color indexed="81"/>
            <rFont val="Tahoma"/>
            <family val="2"/>
          </rPr>
          <t xml:space="preserve">
This value is figured into the quantity to be licensed in the software so if these are all spare units, a separate quote should be created to avoid superfluous licensing.</t>
        </r>
      </text>
    </comment>
    <comment ref="C49" authorId="0" shapeId="0" xr:uid="{00000000-0006-0000-0000-000009000000}">
      <text>
        <r>
          <rPr>
            <b/>
            <sz val="9"/>
            <color indexed="81"/>
            <rFont val="Tahoma"/>
            <family val="2"/>
          </rPr>
          <t>Mark Lynch:</t>
        </r>
        <r>
          <rPr>
            <sz val="9"/>
            <color indexed="81"/>
            <rFont val="Tahoma"/>
            <family val="2"/>
          </rPr>
          <t xml:space="preserve">
For license count, does note include LF Standalone Secondary</t>
        </r>
      </text>
    </comment>
    <comment ref="C51" authorId="0" shapeId="0" xr:uid="{00000000-0006-0000-0000-00000A000000}">
      <text>
        <r>
          <rPr>
            <b/>
            <sz val="8"/>
            <color indexed="81"/>
            <rFont val="Tahoma"/>
            <family val="2"/>
          </rPr>
          <t>Mark Lynch:</t>
        </r>
        <r>
          <rPr>
            <sz val="8"/>
            <color indexed="81"/>
            <rFont val="Tahoma"/>
            <family val="2"/>
          </rPr>
          <t xml:space="preserve">
This is an estimate using the maximum capabilities of the power supplies. It is always recommended to go higher on the current limit of the supply. This estimate does not compensate for auxiliary equipment such as buzzers or strobes. If this block is red, check other sheets and ensure they have enough power supplies.</t>
        </r>
      </text>
    </comment>
    <comment ref="C52" authorId="0" shapeId="0" xr:uid="{00000000-0006-0000-0000-00000B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 ref="C53" authorId="0" shapeId="0" xr:uid="{00000000-0006-0000-0000-00000C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E6" authorId="0" shapeId="0" xr:uid="{00000000-0006-0000-0900-000001000000}">
      <text>
        <r>
          <rPr>
            <b/>
            <sz val="8"/>
            <color indexed="81"/>
            <rFont val="Tahoma"/>
            <family val="2"/>
          </rPr>
          <t>Mark Lynch:</t>
        </r>
        <r>
          <rPr>
            <sz val="8"/>
            <color indexed="81"/>
            <rFont val="Tahoma"/>
            <family val="2"/>
          </rPr>
          <t xml:space="preserve">
No more than 7 bus RFs per RS-485 bus</t>
        </r>
      </text>
    </comment>
    <comment ref="E14" authorId="0" shapeId="0" xr:uid="{00000000-0006-0000-0900-000002000000}">
      <text>
        <r>
          <rPr>
            <b/>
            <sz val="8"/>
            <color indexed="81"/>
            <rFont val="Tahoma"/>
            <family val="2"/>
          </rPr>
          <t>Mark Lynch:</t>
        </r>
        <r>
          <rPr>
            <sz val="8"/>
            <color indexed="81"/>
            <rFont val="Tahoma"/>
            <family val="2"/>
          </rPr>
          <t xml:space="preserve">
The ceiling mounted RF and IR readers use this bracket.</t>
        </r>
      </text>
    </comment>
    <comment ref="E15" authorId="0" shapeId="0" xr:uid="{00000000-0006-0000-0900-000003000000}">
      <text>
        <r>
          <rPr>
            <b/>
            <sz val="8"/>
            <color indexed="81"/>
            <rFont val="Tahoma"/>
            <family val="2"/>
          </rPr>
          <t>Mark Lynch:</t>
        </r>
        <r>
          <rPr>
            <sz val="8"/>
            <color indexed="81"/>
            <rFont val="Tahoma"/>
            <family val="2"/>
          </rPr>
          <t xml:space="preserve">
The standalone (round) style of LF Exciter use these. They should be mounted on the wall.</t>
        </r>
      </text>
    </comment>
    <comment ref="E17" authorId="0" shapeId="0" xr:uid="{00000000-0006-0000-0900-000004000000}">
      <text>
        <r>
          <rPr>
            <b/>
            <sz val="8"/>
            <color indexed="81"/>
            <rFont val="Tahoma"/>
            <family val="2"/>
          </rPr>
          <t>Mark Lynch:</t>
        </r>
        <r>
          <rPr>
            <sz val="8"/>
            <color indexed="81"/>
            <rFont val="Tahoma"/>
            <family val="2"/>
          </rPr>
          <t xml:space="preserve">
All devices require a reader cable. These can be made by the installers and should not exceed 30'. 10' cables also available.</t>
        </r>
      </text>
    </comment>
    <comment ref="E18" authorId="0" shapeId="0" xr:uid="{00000000-0006-0000-0900-000005000000}">
      <text>
        <r>
          <rPr>
            <b/>
            <sz val="8"/>
            <color indexed="81"/>
            <rFont val="Tahoma"/>
            <family val="2"/>
          </rPr>
          <t>Mark Lynch:</t>
        </r>
        <r>
          <rPr>
            <sz val="8"/>
            <color indexed="81"/>
            <rFont val="Tahoma"/>
            <family val="2"/>
          </rPr>
          <t xml:space="preserve">
In general, due to the 30' cable limit, one junction box per reader will be required. This can be edited to the system design.</t>
        </r>
      </text>
    </comment>
    <comment ref="C29" authorId="0" shapeId="0" xr:uid="{00000000-0006-0000-0900-000006000000}">
      <text>
        <r>
          <rPr>
            <b/>
            <sz val="9"/>
            <color indexed="81"/>
            <rFont val="Tahoma"/>
            <family val="2"/>
          </rPr>
          <t>Mark Lynch:</t>
        </r>
        <r>
          <rPr>
            <sz val="9"/>
            <color indexed="81"/>
            <rFont val="Tahoma"/>
            <family val="2"/>
          </rPr>
          <t xml:space="preserve">
For license count, does note include LF Standalone Secondary</t>
        </r>
      </text>
    </comment>
    <comment ref="C31" authorId="0" shapeId="0" xr:uid="{00000000-0006-0000-0900-000007000000}">
      <text>
        <r>
          <rPr>
            <b/>
            <sz val="8"/>
            <color indexed="81"/>
            <rFont val="Tahoma"/>
            <family val="2"/>
          </rPr>
          <t>Mark Lynch:</t>
        </r>
        <r>
          <rPr>
            <sz val="8"/>
            <color indexed="81"/>
            <rFont val="Tahoma"/>
            <family val="2"/>
          </rPr>
          <t xml:space="preserve">
This is an estimate using the maximum capabilities of the power supplies. It is always recommended to go higher on the current limit of the supply. This estimate does not compensate for auxiliary equipment such as buzzers or strobes.</t>
        </r>
      </text>
    </comment>
    <comment ref="C32" authorId="0" shapeId="0" xr:uid="{00000000-0006-0000-0900-000008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E6" authorId="0" shapeId="0" xr:uid="{00000000-0006-0000-0A00-000001000000}">
      <text>
        <r>
          <rPr>
            <b/>
            <sz val="8"/>
            <color indexed="81"/>
            <rFont val="Tahoma"/>
            <family val="2"/>
          </rPr>
          <t>Mark Lynch:</t>
        </r>
        <r>
          <rPr>
            <sz val="8"/>
            <color indexed="81"/>
            <rFont val="Tahoma"/>
            <family val="2"/>
          </rPr>
          <t xml:space="preserve">
No more than 7 bus RFs per RS-485 bus</t>
        </r>
      </text>
    </comment>
    <comment ref="E14" authorId="0" shapeId="0" xr:uid="{00000000-0006-0000-0A00-000002000000}">
      <text>
        <r>
          <rPr>
            <b/>
            <sz val="8"/>
            <color indexed="81"/>
            <rFont val="Tahoma"/>
            <family val="2"/>
          </rPr>
          <t>Mark Lynch:</t>
        </r>
        <r>
          <rPr>
            <sz val="8"/>
            <color indexed="81"/>
            <rFont val="Tahoma"/>
            <family val="2"/>
          </rPr>
          <t xml:space="preserve">
The ceiling mounted RF and IR readers use this bracket.</t>
        </r>
      </text>
    </comment>
    <comment ref="E15" authorId="0" shapeId="0" xr:uid="{00000000-0006-0000-0A00-000003000000}">
      <text>
        <r>
          <rPr>
            <b/>
            <sz val="8"/>
            <color indexed="81"/>
            <rFont val="Tahoma"/>
            <family val="2"/>
          </rPr>
          <t>Mark Lynch:</t>
        </r>
        <r>
          <rPr>
            <sz val="8"/>
            <color indexed="81"/>
            <rFont val="Tahoma"/>
            <family val="2"/>
          </rPr>
          <t xml:space="preserve">
The standalone (round) style of LF Exciter use these. They should be mounted on the wall.</t>
        </r>
      </text>
    </comment>
    <comment ref="E17" authorId="0" shapeId="0" xr:uid="{00000000-0006-0000-0A00-000004000000}">
      <text>
        <r>
          <rPr>
            <b/>
            <sz val="8"/>
            <color indexed="81"/>
            <rFont val="Tahoma"/>
            <family val="2"/>
          </rPr>
          <t>Mark Lynch:</t>
        </r>
        <r>
          <rPr>
            <sz val="8"/>
            <color indexed="81"/>
            <rFont val="Tahoma"/>
            <family val="2"/>
          </rPr>
          <t xml:space="preserve">
All devices require a reader cable. These can be made by the installers and should not exceed 30'. 10' cables also available.</t>
        </r>
      </text>
    </comment>
    <comment ref="E18" authorId="0" shapeId="0" xr:uid="{00000000-0006-0000-0A00-000005000000}">
      <text>
        <r>
          <rPr>
            <b/>
            <sz val="8"/>
            <color indexed="81"/>
            <rFont val="Tahoma"/>
            <family val="2"/>
          </rPr>
          <t>Mark Lynch:</t>
        </r>
        <r>
          <rPr>
            <sz val="8"/>
            <color indexed="81"/>
            <rFont val="Tahoma"/>
            <family val="2"/>
          </rPr>
          <t xml:space="preserve">
In general, due to the 30' cable limit, one junction box per reader will be required. This can be edited to the system design.</t>
        </r>
      </text>
    </comment>
    <comment ref="C29" authorId="0" shapeId="0" xr:uid="{00000000-0006-0000-0A00-000006000000}">
      <text>
        <r>
          <rPr>
            <b/>
            <sz val="9"/>
            <color indexed="81"/>
            <rFont val="Tahoma"/>
            <family val="2"/>
          </rPr>
          <t>Mark Lynch:</t>
        </r>
        <r>
          <rPr>
            <sz val="9"/>
            <color indexed="81"/>
            <rFont val="Tahoma"/>
            <family val="2"/>
          </rPr>
          <t xml:space="preserve">
For license count, does note include LF Standalone Secondary</t>
        </r>
      </text>
    </comment>
    <comment ref="C31" authorId="0" shapeId="0" xr:uid="{00000000-0006-0000-0A00-000007000000}">
      <text>
        <r>
          <rPr>
            <b/>
            <sz val="8"/>
            <color indexed="81"/>
            <rFont val="Tahoma"/>
            <family val="2"/>
          </rPr>
          <t>Mark Lynch:</t>
        </r>
        <r>
          <rPr>
            <sz val="8"/>
            <color indexed="81"/>
            <rFont val="Tahoma"/>
            <family val="2"/>
          </rPr>
          <t xml:space="preserve">
This is an estimate using the maximum capabilities of the power supplies. It is always recommended to go higher on the current limit of the supply. This estimate does not compensate for auxiliary equipment such as buzzers or strobes.</t>
        </r>
      </text>
    </comment>
    <comment ref="C32" authorId="0" shapeId="0" xr:uid="{00000000-0006-0000-0A00-000008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E6" authorId="0" shapeId="0" xr:uid="{00000000-0006-0000-0B00-000001000000}">
      <text>
        <r>
          <rPr>
            <b/>
            <sz val="8"/>
            <color indexed="81"/>
            <rFont val="Tahoma"/>
            <family val="2"/>
          </rPr>
          <t>Mark Lynch:</t>
        </r>
        <r>
          <rPr>
            <sz val="8"/>
            <color indexed="81"/>
            <rFont val="Tahoma"/>
            <family val="2"/>
          </rPr>
          <t xml:space="preserve">
No more than 7 bus RFs per RS-485 bus</t>
        </r>
      </text>
    </comment>
    <comment ref="E14" authorId="0" shapeId="0" xr:uid="{00000000-0006-0000-0B00-000002000000}">
      <text>
        <r>
          <rPr>
            <b/>
            <sz val="8"/>
            <color indexed="81"/>
            <rFont val="Tahoma"/>
            <family val="2"/>
          </rPr>
          <t>Mark Lynch:</t>
        </r>
        <r>
          <rPr>
            <sz val="8"/>
            <color indexed="81"/>
            <rFont val="Tahoma"/>
            <family val="2"/>
          </rPr>
          <t xml:space="preserve">
The ceiling mounted RF and IR readers use this bracket.</t>
        </r>
      </text>
    </comment>
    <comment ref="E15" authorId="0" shapeId="0" xr:uid="{00000000-0006-0000-0B00-000003000000}">
      <text>
        <r>
          <rPr>
            <b/>
            <sz val="8"/>
            <color indexed="81"/>
            <rFont val="Tahoma"/>
            <family val="2"/>
          </rPr>
          <t>Mark Lynch:</t>
        </r>
        <r>
          <rPr>
            <sz val="8"/>
            <color indexed="81"/>
            <rFont val="Tahoma"/>
            <family val="2"/>
          </rPr>
          <t xml:space="preserve">
The standalone (round) style of LF Exciter use these. They should be mounted on the wall.</t>
        </r>
      </text>
    </comment>
    <comment ref="E17" authorId="0" shapeId="0" xr:uid="{00000000-0006-0000-0B00-000004000000}">
      <text>
        <r>
          <rPr>
            <b/>
            <sz val="8"/>
            <color indexed="81"/>
            <rFont val="Tahoma"/>
            <family val="2"/>
          </rPr>
          <t>Mark Lynch:</t>
        </r>
        <r>
          <rPr>
            <sz val="8"/>
            <color indexed="81"/>
            <rFont val="Tahoma"/>
            <family val="2"/>
          </rPr>
          <t xml:space="preserve">
All devices require a reader cable. These can be made by the installers and should not exceed 30'. 10' cables also available.</t>
        </r>
      </text>
    </comment>
    <comment ref="E18" authorId="0" shapeId="0" xr:uid="{00000000-0006-0000-0B00-000005000000}">
      <text>
        <r>
          <rPr>
            <b/>
            <sz val="8"/>
            <color indexed="81"/>
            <rFont val="Tahoma"/>
            <family val="2"/>
          </rPr>
          <t>Mark Lynch:</t>
        </r>
        <r>
          <rPr>
            <sz val="8"/>
            <color indexed="81"/>
            <rFont val="Tahoma"/>
            <family val="2"/>
          </rPr>
          <t xml:space="preserve">
In general, due to the 30' cable limit, one junction box per reader will be required. This can be edited to the system design.</t>
        </r>
      </text>
    </comment>
    <comment ref="C29" authorId="0" shapeId="0" xr:uid="{00000000-0006-0000-0B00-000006000000}">
      <text>
        <r>
          <rPr>
            <b/>
            <sz val="9"/>
            <color indexed="81"/>
            <rFont val="Tahoma"/>
            <family val="2"/>
          </rPr>
          <t>Mark Lynch:</t>
        </r>
        <r>
          <rPr>
            <sz val="9"/>
            <color indexed="81"/>
            <rFont val="Tahoma"/>
            <family val="2"/>
          </rPr>
          <t xml:space="preserve">
For license count, does note include LF Standalone Secondary</t>
        </r>
      </text>
    </comment>
    <comment ref="C31" authorId="0" shapeId="0" xr:uid="{00000000-0006-0000-0B00-000007000000}">
      <text>
        <r>
          <rPr>
            <b/>
            <sz val="8"/>
            <color indexed="81"/>
            <rFont val="Tahoma"/>
            <family val="2"/>
          </rPr>
          <t>Mark Lynch:</t>
        </r>
        <r>
          <rPr>
            <sz val="8"/>
            <color indexed="81"/>
            <rFont val="Tahoma"/>
            <family val="2"/>
          </rPr>
          <t xml:space="preserve">
This is an estimate using the maximum capabilities of the power supplies. It is always recommended to go higher on the current limit of the supply. This estimate does not compensate for auxiliary equipment such as buzzers or strobes.</t>
        </r>
      </text>
    </comment>
    <comment ref="C32" authorId="0" shapeId="0" xr:uid="{00000000-0006-0000-0B00-000008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E6" authorId="0" shapeId="0" xr:uid="{00000000-0006-0000-0C00-000001000000}">
      <text>
        <r>
          <rPr>
            <b/>
            <sz val="8"/>
            <color indexed="81"/>
            <rFont val="Tahoma"/>
            <family val="2"/>
          </rPr>
          <t>Mark Lynch:</t>
        </r>
        <r>
          <rPr>
            <sz val="8"/>
            <color indexed="81"/>
            <rFont val="Tahoma"/>
            <family val="2"/>
          </rPr>
          <t xml:space="preserve">
No more than 7 bus RFs per RS-485 bus</t>
        </r>
      </text>
    </comment>
    <comment ref="E14" authorId="0" shapeId="0" xr:uid="{00000000-0006-0000-0C00-000002000000}">
      <text>
        <r>
          <rPr>
            <b/>
            <sz val="8"/>
            <color indexed="81"/>
            <rFont val="Tahoma"/>
            <family val="2"/>
          </rPr>
          <t>Mark Lynch:</t>
        </r>
        <r>
          <rPr>
            <sz val="8"/>
            <color indexed="81"/>
            <rFont val="Tahoma"/>
            <family val="2"/>
          </rPr>
          <t xml:space="preserve">
The ceiling mounted RF and IR readers use this bracket.</t>
        </r>
      </text>
    </comment>
    <comment ref="E15" authorId="0" shapeId="0" xr:uid="{00000000-0006-0000-0C00-000003000000}">
      <text>
        <r>
          <rPr>
            <b/>
            <sz val="8"/>
            <color indexed="81"/>
            <rFont val="Tahoma"/>
            <family val="2"/>
          </rPr>
          <t>Mark Lynch:</t>
        </r>
        <r>
          <rPr>
            <sz val="8"/>
            <color indexed="81"/>
            <rFont val="Tahoma"/>
            <family val="2"/>
          </rPr>
          <t xml:space="preserve">
The standalone (round) style of LF Exciter use these. They should be mounted on the wall.</t>
        </r>
      </text>
    </comment>
    <comment ref="E17" authorId="0" shapeId="0" xr:uid="{00000000-0006-0000-0C00-000004000000}">
      <text>
        <r>
          <rPr>
            <b/>
            <sz val="8"/>
            <color indexed="81"/>
            <rFont val="Tahoma"/>
            <family val="2"/>
          </rPr>
          <t>Mark Lynch:</t>
        </r>
        <r>
          <rPr>
            <sz val="8"/>
            <color indexed="81"/>
            <rFont val="Tahoma"/>
            <family val="2"/>
          </rPr>
          <t xml:space="preserve">
All devices require a reader cable. These can be made by the installers and should not exceed 30'. 10' cables also available.</t>
        </r>
      </text>
    </comment>
    <comment ref="E18" authorId="0" shapeId="0" xr:uid="{00000000-0006-0000-0C00-000005000000}">
      <text>
        <r>
          <rPr>
            <b/>
            <sz val="8"/>
            <color indexed="81"/>
            <rFont val="Tahoma"/>
            <family val="2"/>
          </rPr>
          <t>Mark Lynch:</t>
        </r>
        <r>
          <rPr>
            <sz val="8"/>
            <color indexed="81"/>
            <rFont val="Tahoma"/>
            <family val="2"/>
          </rPr>
          <t xml:space="preserve">
In general, due to the 30' cable limit, one junction box per reader will be required. This can be edited to the system design.</t>
        </r>
      </text>
    </comment>
    <comment ref="C29" authorId="0" shapeId="0" xr:uid="{00000000-0006-0000-0C00-000006000000}">
      <text>
        <r>
          <rPr>
            <b/>
            <sz val="9"/>
            <color indexed="81"/>
            <rFont val="Tahoma"/>
            <family val="2"/>
          </rPr>
          <t>Mark Lynch:</t>
        </r>
        <r>
          <rPr>
            <sz val="9"/>
            <color indexed="81"/>
            <rFont val="Tahoma"/>
            <family val="2"/>
          </rPr>
          <t xml:space="preserve">
For license count, does note include LF Standalone Secondary</t>
        </r>
      </text>
    </comment>
    <comment ref="C31" authorId="0" shapeId="0" xr:uid="{00000000-0006-0000-0C00-000007000000}">
      <text>
        <r>
          <rPr>
            <b/>
            <sz val="8"/>
            <color indexed="81"/>
            <rFont val="Tahoma"/>
            <family val="2"/>
          </rPr>
          <t>Mark Lynch:</t>
        </r>
        <r>
          <rPr>
            <sz val="8"/>
            <color indexed="81"/>
            <rFont val="Tahoma"/>
            <family val="2"/>
          </rPr>
          <t xml:space="preserve">
This is an estimate using the maximum capabilities of the power supplies. It is always recommended to go higher on the current limit of the supply. This estimate does not compensate for auxiliary equipment such as buzzers or strobes.</t>
        </r>
      </text>
    </comment>
    <comment ref="C32" authorId="0" shapeId="0" xr:uid="{00000000-0006-0000-0C00-000008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E6" authorId="0" shapeId="0" xr:uid="{00000000-0006-0000-0D00-000001000000}">
      <text>
        <r>
          <rPr>
            <b/>
            <sz val="8"/>
            <color indexed="81"/>
            <rFont val="Tahoma"/>
            <family val="2"/>
          </rPr>
          <t>Mark Lynch:</t>
        </r>
        <r>
          <rPr>
            <sz val="8"/>
            <color indexed="81"/>
            <rFont val="Tahoma"/>
            <family val="2"/>
          </rPr>
          <t xml:space="preserve">
No more than 7 bus RFs per RS-485 bus</t>
        </r>
      </text>
    </comment>
    <comment ref="E14" authorId="0" shapeId="0" xr:uid="{00000000-0006-0000-0D00-000002000000}">
      <text>
        <r>
          <rPr>
            <b/>
            <sz val="8"/>
            <color indexed="81"/>
            <rFont val="Tahoma"/>
            <family val="2"/>
          </rPr>
          <t>Mark Lynch:</t>
        </r>
        <r>
          <rPr>
            <sz val="8"/>
            <color indexed="81"/>
            <rFont val="Tahoma"/>
            <family val="2"/>
          </rPr>
          <t xml:space="preserve">
The ceiling mounted RF and IR readers use this bracket.</t>
        </r>
      </text>
    </comment>
    <comment ref="E15" authorId="0" shapeId="0" xr:uid="{00000000-0006-0000-0D00-000003000000}">
      <text>
        <r>
          <rPr>
            <b/>
            <sz val="8"/>
            <color indexed="81"/>
            <rFont val="Tahoma"/>
            <family val="2"/>
          </rPr>
          <t>Mark Lynch:</t>
        </r>
        <r>
          <rPr>
            <sz val="8"/>
            <color indexed="81"/>
            <rFont val="Tahoma"/>
            <family val="2"/>
          </rPr>
          <t xml:space="preserve">
The standalone (round) style of LF Exciter use these. They should be mounted on the wall.</t>
        </r>
      </text>
    </comment>
    <comment ref="E17" authorId="0" shapeId="0" xr:uid="{00000000-0006-0000-0D00-000004000000}">
      <text>
        <r>
          <rPr>
            <b/>
            <sz val="8"/>
            <color indexed="81"/>
            <rFont val="Tahoma"/>
            <family val="2"/>
          </rPr>
          <t>Mark Lynch:</t>
        </r>
        <r>
          <rPr>
            <sz val="8"/>
            <color indexed="81"/>
            <rFont val="Tahoma"/>
            <family val="2"/>
          </rPr>
          <t xml:space="preserve">
All devices require a reader cable. These can be made by the installers and should not exceed 30'. 10' cables also available.</t>
        </r>
      </text>
    </comment>
    <comment ref="E18" authorId="0" shapeId="0" xr:uid="{00000000-0006-0000-0D00-000005000000}">
      <text>
        <r>
          <rPr>
            <b/>
            <sz val="8"/>
            <color indexed="81"/>
            <rFont val="Tahoma"/>
            <family val="2"/>
          </rPr>
          <t>Mark Lynch:</t>
        </r>
        <r>
          <rPr>
            <sz val="8"/>
            <color indexed="81"/>
            <rFont val="Tahoma"/>
            <family val="2"/>
          </rPr>
          <t xml:space="preserve">
In general, due to the 30' cable limit, one junction box per reader will be required. This can be edited to the system design.</t>
        </r>
      </text>
    </comment>
    <comment ref="C29" authorId="0" shapeId="0" xr:uid="{00000000-0006-0000-0D00-000006000000}">
      <text>
        <r>
          <rPr>
            <b/>
            <sz val="9"/>
            <color indexed="81"/>
            <rFont val="Tahoma"/>
            <family val="2"/>
          </rPr>
          <t>Mark Lynch:</t>
        </r>
        <r>
          <rPr>
            <sz val="9"/>
            <color indexed="81"/>
            <rFont val="Tahoma"/>
            <family val="2"/>
          </rPr>
          <t xml:space="preserve">
For license count, does note include LF Standalone Secondary</t>
        </r>
      </text>
    </comment>
    <comment ref="C31" authorId="0" shapeId="0" xr:uid="{00000000-0006-0000-0D00-000007000000}">
      <text>
        <r>
          <rPr>
            <b/>
            <sz val="8"/>
            <color indexed="81"/>
            <rFont val="Tahoma"/>
            <family val="2"/>
          </rPr>
          <t>Mark Lynch:</t>
        </r>
        <r>
          <rPr>
            <sz val="8"/>
            <color indexed="81"/>
            <rFont val="Tahoma"/>
            <family val="2"/>
          </rPr>
          <t xml:space="preserve">
This is an estimate using the maximum capabilities of the power supplies. It is always recommended to go higher on the current limit of the supply. This estimate does not compensate for auxiliary equipment such as buzzers or strobes.</t>
        </r>
      </text>
    </comment>
    <comment ref="C32" authorId="0" shapeId="0" xr:uid="{00000000-0006-0000-0D00-000008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E6" authorId="0" shapeId="0" xr:uid="{00000000-0006-0000-0E00-000001000000}">
      <text>
        <r>
          <rPr>
            <b/>
            <sz val="8"/>
            <color indexed="81"/>
            <rFont val="Tahoma"/>
            <family val="2"/>
          </rPr>
          <t>Mark Lynch:</t>
        </r>
        <r>
          <rPr>
            <sz val="8"/>
            <color indexed="81"/>
            <rFont val="Tahoma"/>
            <family val="2"/>
          </rPr>
          <t xml:space="preserve">
No more than 7 bus RFs per RS-485 bus</t>
        </r>
      </text>
    </comment>
    <comment ref="E14" authorId="0" shapeId="0" xr:uid="{00000000-0006-0000-0E00-000002000000}">
      <text>
        <r>
          <rPr>
            <b/>
            <sz val="8"/>
            <color indexed="81"/>
            <rFont val="Tahoma"/>
            <family val="2"/>
          </rPr>
          <t>Mark Lynch:</t>
        </r>
        <r>
          <rPr>
            <sz val="8"/>
            <color indexed="81"/>
            <rFont val="Tahoma"/>
            <family val="2"/>
          </rPr>
          <t xml:space="preserve">
The ceiling mounted RF and IR readers use this bracket.</t>
        </r>
      </text>
    </comment>
    <comment ref="E15" authorId="0" shapeId="0" xr:uid="{00000000-0006-0000-0E00-000003000000}">
      <text>
        <r>
          <rPr>
            <b/>
            <sz val="8"/>
            <color indexed="81"/>
            <rFont val="Tahoma"/>
            <family val="2"/>
          </rPr>
          <t>Mark Lynch:</t>
        </r>
        <r>
          <rPr>
            <sz val="8"/>
            <color indexed="81"/>
            <rFont val="Tahoma"/>
            <family val="2"/>
          </rPr>
          <t xml:space="preserve">
The standalone (round) style of LF Exciter use these. They should be mounted on the wall.</t>
        </r>
      </text>
    </comment>
    <comment ref="E17" authorId="0" shapeId="0" xr:uid="{00000000-0006-0000-0E00-000004000000}">
      <text>
        <r>
          <rPr>
            <b/>
            <sz val="8"/>
            <color indexed="81"/>
            <rFont val="Tahoma"/>
            <family val="2"/>
          </rPr>
          <t>Mark Lynch:</t>
        </r>
        <r>
          <rPr>
            <sz val="8"/>
            <color indexed="81"/>
            <rFont val="Tahoma"/>
            <family val="2"/>
          </rPr>
          <t xml:space="preserve">
All devices require a reader cable. These can be made by the installers and should not exceed 30'. 10' cables also available.</t>
        </r>
      </text>
    </comment>
    <comment ref="E18" authorId="0" shapeId="0" xr:uid="{00000000-0006-0000-0E00-000005000000}">
      <text>
        <r>
          <rPr>
            <b/>
            <sz val="8"/>
            <color indexed="81"/>
            <rFont val="Tahoma"/>
            <family val="2"/>
          </rPr>
          <t>Mark Lynch:</t>
        </r>
        <r>
          <rPr>
            <sz val="8"/>
            <color indexed="81"/>
            <rFont val="Tahoma"/>
            <family val="2"/>
          </rPr>
          <t xml:space="preserve">
In general, due to the 30' cable limit, one junction box per reader will be required. This can be edited to the system design.</t>
        </r>
      </text>
    </comment>
    <comment ref="C29" authorId="0" shapeId="0" xr:uid="{00000000-0006-0000-0E00-000006000000}">
      <text>
        <r>
          <rPr>
            <b/>
            <sz val="9"/>
            <color indexed="81"/>
            <rFont val="Tahoma"/>
            <family val="2"/>
          </rPr>
          <t>Mark Lynch:</t>
        </r>
        <r>
          <rPr>
            <sz val="9"/>
            <color indexed="81"/>
            <rFont val="Tahoma"/>
            <family val="2"/>
          </rPr>
          <t xml:space="preserve">
For license count, does note include LF Standalone Secondary</t>
        </r>
      </text>
    </comment>
    <comment ref="C31" authorId="0" shapeId="0" xr:uid="{00000000-0006-0000-0E00-000007000000}">
      <text>
        <r>
          <rPr>
            <b/>
            <sz val="8"/>
            <color indexed="81"/>
            <rFont val="Tahoma"/>
            <family val="2"/>
          </rPr>
          <t>Mark Lynch:</t>
        </r>
        <r>
          <rPr>
            <sz val="8"/>
            <color indexed="81"/>
            <rFont val="Tahoma"/>
            <family val="2"/>
          </rPr>
          <t xml:space="preserve">
This is an estimate using the maximum capabilities of the power supplies. It is always recommended to go higher on the current limit of the supply. This estimate does not compensate for auxiliary equipment such as buzzers or strobes.</t>
        </r>
      </text>
    </comment>
    <comment ref="C32" authorId="0" shapeId="0" xr:uid="{00000000-0006-0000-0E00-000008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E6" authorId="0" shapeId="0" xr:uid="{00000000-0006-0000-0F00-000001000000}">
      <text>
        <r>
          <rPr>
            <b/>
            <sz val="8"/>
            <color indexed="81"/>
            <rFont val="Tahoma"/>
            <family val="2"/>
          </rPr>
          <t>Mark Lynch:</t>
        </r>
        <r>
          <rPr>
            <sz val="8"/>
            <color indexed="81"/>
            <rFont val="Tahoma"/>
            <family val="2"/>
          </rPr>
          <t xml:space="preserve">
No more than 7 bus RFs per RS-485 bus</t>
        </r>
      </text>
    </comment>
    <comment ref="E14" authorId="0" shapeId="0" xr:uid="{00000000-0006-0000-0F00-000002000000}">
      <text>
        <r>
          <rPr>
            <b/>
            <sz val="8"/>
            <color indexed="81"/>
            <rFont val="Tahoma"/>
            <family val="2"/>
          </rPr>
          <t>Mark Lynch:</t>
        </r>
        <r>
          <rPr>
            <sz val="8"/>
            <color indexed="81"/>
            <rFont val="Tahoma"/>
            <family val="2"/>
          </rPr>
          <t xml:space="preserve">
The ceiling mounted RF and IR readers use this bracket.</t>
        </r>
      </text>
    </comment>
    <comment ref="E15" authorId="0" shapeId="0" xr:uid="{00000000-0006-0000-0F00-000003000000}">
      <text>
        <r>
          <rPr>
            <b/>
            <sz val="8"/>
            <color indexed="81"/>
            <rFont val="Tahoma"/>
            <family val="2"/>
          </rPr>
          <t>Mark Lynch:</t>
        </r>
        <r>
          <rPr>
            <sz val="8"/>
            <color indexed="81"/>
            <rFont val="Tahoma"/>
            <family val="2"/>
          </rPr>
          <t xml:space="preserve">
The standalone (round) style of LF Exciter use these. They should be mounted on the wall.</t>
        </r>
      </text>
    </comment>
    <comment ref="E17" authorId="0" shapeId="0" xr:uid="{00000000-0006-0000-0F00-000004000000}">
      <text>
        <r>
          <rPr>
            <b/>
            <sz val="8"/>
            <color indexed="81"/>
            <rFont val="Tahoma"/>
            <family val="2"/>
          </rPr>
          <t>Mark Lynch:</t>
        </r>
        <r>
          <rPr>
            <sz val="8"/>
            <color indexed="81"/>
            <rFont val="Tahoma"/>
            <family val="2"/>
          </rPr>
          <t xml:space="preserve">
All devices require a reader cable. These can be made by the installers and should not exceed 30'. 10' cables also available.</t>
        </r>
      </text>
    </comment>
    <comment ref="E18" authorId="0" shapeId="0" xr:uid="{00000000-0006-0000-0F00-000005000000}">
      <text>
        <r>
          <rPr>
            <b/>
            <sz val="8"/>
            <color indexed="81"/>
            <rFont val="Tahoma"/>
            <family val="2"/>
          </rPr>
          <t>Mark Lynch:</t>
        </r>
        <r>
          <rPr>
            <sz val="8"/>
            <color indexed="81"/>
            <rFont val="Tahoma"/>
            <family val="2"/>
          </rPr>
          <t xml:space="preserve">
In general, due to the 30' cable limit, one junction box per reader will be required. This can be edited to the system design.</t>
        </r>
      </text>
    </comment>
    <comment ref="C29" authorId="0" shapeId="0" xr:uid="{00000000-0006-0000-0F00-000006000000}">
      <text>
        <r>
          <rPr>
            <b/>
            <sz val="9"/>
            <color indexed="81"/>
            <rFont val="Tahoma"/>
            <family val="2"/>
          </rPr>
          <t>Mark Lynch:</t>
        </r>
        <r>
          <rPr>
            <sz val="9"/>
            <color indexed="81"/>
            <rFont val="Tahoma"/>
            <family val="2"/>
          </rPr>
          <t xml:space="preserve">
For license count, does note include LF Standalone Secondary</t>
        </r>
      </text>
    </comment>
    <comment ref="C31" authorId="0" shapeId="0" xr:uid="{00000000-0006-0000-0F00-000007000000}">
      <text>
        <r>
          <rPr>
            <b/>
            <sz val="8"/>
            <color indexed="81"/>
            <rFont val="Tahoma"/>
            <family val="2"/>
          </rPr>
          <t>Mark Lynch:</t>
        </r>
        <r>
          <rPr>
            <sz val="8"/>
            <color indexed="81"/>
            <rFont val="Tahoma"/>
            <family val="2"/>
          </rPr>
          <t xml:space="preserve">
This is an estimate using the maximum capabilities of the power supplies. It is always recommended to go higher on the current limit of the supply. This estimate does not compensate for auxiliary equipment such as buzzers or strobes.</t>
        </r>
      </text>
    </comment>
    <comment ref="C32" authorId="0" shapeId="0" xr:uid="{00000000-0006-0000-0F00-000008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E6" authorId="0" shapeId="0" xr:uid="{00000000-0006-0000-1000-000001000000}">
      <text>
        <r>
          <rPr>
            <b/>
            <sz val="8"/>
            <color indexed="81"/>
            <rFont val="Tahoma"/>
            <family val="2"/>
          </rPr>
          <t>Mark Lynch:</t>
        </r>
        <r>
          <rPr>
            <sz val="8"/>
            <color indexed="81"/>
            <rFont val="Tahoma"/>
            <family val="2"/>
          </rPr>
          <t xml:space="preserve">
No more than 7 bus RFs per RS-485 bus</t>
        </r>
      </text>
    </comment>
    <comment ref="E10" authorId="0" shapeId="0" xr:uid="{00000000-0006-0000-1000-000002000000}">
      <text>
        <r>
          <rPr>
            <b/>
            <sz val="8"/>
            <color indexed="81"/>
            <rFont val="Tahoma"/>
            <family val="2"/>
          </rPr>
          <t>Mark Lynch:</t>
        </r>
        <r>
          <rPr>
            <sz val="8"/>
            <color indexed="81"/>
            <rFont val="Tahoma"/>
            <family val="2"/>
          </rPr>
          <t xml:space="preserve">
All devices require a reader cable. These can be made by the installers and should not exceed 30'. 10' cables also available.</t>
        </r>
      </text>
    </comment>
    <comment ref="E11" authorId="0" shapeId="0" xr:uid="{00000000-0006-0000-1000-000003000000}">
      <text>
        <r>
          <rPr>
            <b/>
            <sz val="8"/>
            <color indexed="81"/>
            <rFont val="Tahoma"/>
            <family val="2"/>
          </rPr>
          <t>Mark Lynch:</t>
        </r>
        <r>
          <rPr>
            <sz val="8"/>
            <color indexed="81"/>
            <rFont val="Tahoma"/>
            <family val="2"/>
          </rPr>
          <t xml:space="preserve">
In general, due to the 30' cable limit, one junction box per reader will be required. This can be edited to the system design.</t>
        </r>
      </text>
    </comment>
    <comment ref="C17" authorId="0" shapeId="0" xr:uid="{00000000-0006-0000-1000-000004000000}">
      <text>
        <r>
          <rPr>
            <b/>
            <sz val="9"/>
            <color indexed="81"/>
            <rFont val="Tahoma"/>
            <family val="2"/>
          </rPr>
          <t>Mark Lynch:</t>
        </r>
        <r>
          <rPr>
            <sz val="9"/>
            <color indexed="81"/>
            <rFont val="Tahoma"/>
            <family val="2"/>
          </rPr>
          <t xml:space="preserve">
For license count, does note include LF Standalone Secondary</t>
        </r>
      </text>
    </comment>
    <comment ref="C19" authorId="0" shapeId="0" xr:uid="{00000000-0006-0000-1000-000005000000}">
      <text>
        <r>
          <rPr>
            <b/>
            <sz val="8"/>
            <color indexed="81"/>
            <rFont val="Tahoma"/>
            <family val="2"/>
          </rPr>
          <t>Mark Lynch:</t>
        </r>
        <r>
          <rPr>
            <sz val="8"/>
            <color indexed="81"/>
            <rFont val="Tahoma"/>
            <family val="2"/>
          </rPr>
          <t xml:space="preserve">
This is an estimate using the maximum capabilities of the power supplies. It is always recommended to go higher on the current limit of the supply. This estimate does not compensate for auxiliary equipment such as buzzers or strobes.</t>
        </r>
      </text>
    </comment>
    <comment ref="C20" authorId="0" shapeId="0" xr:uid="{00000000-0006-0000-1000-000006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E6" authorId="0" shapeId="0" xr:uid="{00000000-0006-0000-1100-000001000000}">
      <text>
        <r>
          <rPr>
            <b/>
            <sz val="8"/>
            <color indexed="81"/>
            <rFont val="Tahoma"/>
            <family val="2"/>
          </rPr>
          <t>Mark Lynch:</t>
        </r>
        <r>
          <rPr>
            <sz val="8"/>
            <color indexed="81"/>
            <rFont val="Tahoma"/>
            <family val="2"/>
          </rPr>
          <t xml:space="preserve">
No more than 7 bus RFs per RS-485 bus</t>
        </r>
      </text>
    </comment>
    <comment ref="E24" authorId="0" shapeId="0" xr:uid="{00000000-0006-0000-1100-000002000000}">
      <text>
        <r>
          <rPr>
            <b/>
            <sz val="8"/>
            <color indexed="81"/>
            <rFont val="Tahoma"/>
            <family val="2"/>
          </rPr>
          <t>Mark Lynch:</t>
        </r>
        <r>
          <rPr>
            <sz val="8"/>
            <color indexed="81"/>
            <rFont val="Tahoma"/>
            <family val="2"/>
          </rPr>
          <t xml:space="preserve">
The ceiling mounted RF and IR readers use this bracket.</t>
        </r>
      </text>
    </comment>
    <comment ref="E28" authorId="0" shapeId="0" xr:uid="{00000000-0006-0000-1100-000003000000}">
      <text>
        <r>
          <rPr>
            <b/>
            <sz val="8"/>
            <color indexed="81"/>
            <rFont val="Tahoma"/>
            <family val="2"/>
          </rPr>
          <t>Mark Lynch:</t>
        </r>
        <r>
          <rPr>
            <sz val="8"/>
            <color indexed="81"/>
            <rFont val="Tahoma"/>
            <family val="2"/>
          </rPr>
          <t xml:space="preserve">
In general, due to the 30' cable limit, one junction box per reader may be required. This can be modified based on the system design.</t>
        </r>
      </text>
    </comment>
    <comment ref="C45" authorId="0" shapeId="0" xr:uid="{00000000-0006-0000-1100-000004000000}">
      <text>
        <r>
          <rPr>
            <b/>
            <sz val="8"/>
            <color indexed="81"/>
            <rFont val="Tahoma"/>
            <family val="2"/>
          </rPr>
          <t>Mark Lynch:</t>
        </r>
        <r>
          <rPr>
            <sz val="8"/>
            <color indexed="81"/>
            <rFont val="Tahoma"/>
            <family val="2"/>
          </rPr>
          <t xml:space="preserve">
This is an estimate using the maximum capabilities of the power supplies. It is always recommended to go higher on the current limit of the supply. This estimate does not compensate for auxiliary equipment such as buzzers or strobes. It is our recommendation to have separate power runs for the standalone LF exciters.</t>
        </r>
      </text>
    </comment>
    <comment ref="C46" authorId="0" shapeId="0" xr:uid="{00000000-0006-0000-1100-000005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E5" authorId="0" shapeId="0" xr:uid="{00000000-0006-0000-1400-000001000000}">
      <text>
        <r>
          <rPr>
            <b/>
            <sz val="9"/>
            <color indexed="81"/>
            <rFont val="Tahoma"/>
            <family val="2"/>
          </rPr>
          <t>Mark Lynch:</t>
        </r>
        <r>
          <rPr>
            <sz val="9"/>
            <color indexed="81"/>
            <rFont val="Tahoma"/>
            <family val="2"/>
          </rPr>
          <t xml:space="preserve">
Automatically calculated from number of readers</t>
        </r>
      </text>
    </comment>
    <comment ref="E11" authorId="0" shapeId="0" xr:uid="{00000000-0006-0000-1400-000002000000}">
      <text>
        <r>
          <rPr>
            <b/>
            <sz val="9"/>
            <color indexed="81"/>
            <rFont val="Tahoma"/>
            <family val="2"/>
          </rPr>
          <t>Mark Lynch:</t>
        </r>
        <r>
          <rPr>
            <sz val="9"/>
            <color indexed="81"/>
            <rFont val="Tahoma"/>
            <family val="2"/>
          </rPr>
          <t xml:space="preserve">
Only 1 per site</t>
        </r>
      </text>
    </comment>
    <comment ref="E12" authorId="0" shapeId="0" xr:uid="{00000000-0006-0000-1400-000003000000}">
      <text>
        <r>
          <rPr>
            <b/>
            <sz val="9"/>
            <color indexed="81"/>
            <rFont val="Tahoma"/>
            <family val="2"/>
          </rPr>
          <t>Mark Lynch:</t>
        </r>
        <r>
          <rPr>
            <sz val="9"/>
            <color indexed="81"/>
            <rFont val="Tahoma"/>
            <family val="2"/>
          </rPr>
          <t xml:space="preserve">
Only 1 per site</t>
        </r>
      </text>
    </comment>
    <comment ref="E13" authorId="0" shapeId="0" xr:uid="{00000000-0006-0000-1400-000004000000}">
      <text>
        <r>
          <rPr>
            <b/>
            <sz val="9"/>
            <color indexed="81"/>
            <rFont val="Tahoma"/>
            <family val="2"/>
          </rPr>
          <t>Mark Lynch:</t>
        </r>
        <r>
          <rPr>
            <sz val="9"/>
            <color indexed="81"/>
            <rFont val="Tahoma"/>
            <family val="2"/>
          </rPr>
          <t xml:space="preserve">
Only 1 per site</t>
        </r>
      </text>
    </comment>
    <comment ref="E14" authorId="0" shapeId="0" xr:uid="{00000000-0006-0000-1400-000005000000}">
      <text>
        <r>
          <rPr>
            <b/>
            <sz val="9"/>
            <color indexed="81"/>
            <rFont val="Tahoma"/>
            <family val="2"/>
          </rPr>
          <t>Mark Lynch:</t>
        </r>
        <r>
          <rPr>
            <sz val="9"/>
            <color indexed="81"/>
            <rFont val="Tahoma"/>
            <family val="2"/>
          </rPr>
          <t xml:space="preserve">
Only 1 per site</t>
        </r>
      </text>
    </comment>
    <comment ref="E15" authorId="0" shapeId="0" xr:uid="{00000000-0006-0000-1400-000006000000}">
      <text>
        <r>
          <rPr>
            <b/>
            <sz val="9"/>
            <color indexed="81"/>
            <rFont val="Tahoma"/>
            <family val="2"/>
          </rPr>
          <t>Mark Lynch:</t>
        </r>
        <r>
          <rPr>
            <sz val="9"/>
            <color indexed="81"/>
            <rFont val="Tahoma"/>
            <family val="2"/>
          </rPr>
          <t xml:space="preserve">
Only 1 per site</t>
        </r>
      </text>
    </comment>
    <comment ref="E16" authorId="0" shapeId="0" xr:uid="{00000000-0006-0000-1400-000007000000}">
      <text>
        <r>
          <rPr>
            <b/>
            <sz val="9"/>
            <color indexed="81"/>
            <rFont val="Tahoma"/>
            <family val="2"/>
          </rPr>
          <t>Mark Lynch:</t>
        </r>
        <r>
          <rPr>
            <sz val="9"/>
            <color indexed="81"/>
            <rFont val="Tahoma"/>
            <family val="2"/>
          </rPr>
          <t xml:space="preserve">
Only 1 per site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C46" authorId="0" shapeId="0" xr:uid="{00000000-0006-0000-0100-000001000000}">
      <text>
        <r>
          <rPr>
            <b/>
            <sz val="8"/>
            <color indexed="81"/>
            <rFont val="Tahoma"/>
            <family val="2"/>
          </rPr>
          <t>Mark Lynch:</t>
        </r>
        <r>
          <rPr>
            <sz val="8"/>
            <color indexed="81"/>
            <rFont val="Tahoma"/>
            <family val="2"/>
          </rPr>
          <t xml:space="preserve">
This is an estimate using the maximum capabilities of the power supplies. It is always recommended to go higher on the current limit of the supply. This estimate does not compensate for auxiliary equipment such as buzzers or strobes. If this block is red, check other sheets and ensure they have enough power supplies.</t>
        </r>
      </text>
    </comment>
    <comment ref="C47" authorId="0" shapeId="0" xr:uid="{00000000-0006-0000-0100-000002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 ref="C48" authorId="0" shapeId="0" xr:uid="{00000000-0006-0000-0100-000003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C13" authorId="0" shapeId="0" xr:uid="{00000000-0006-0000-0200-000001000000}">
      <text>
        <r>
          <rPr>
            <b/>
            <sz val="9"/>
            <color indexed="81"/>
            <rFont val="Tahoma"/>
            <family val="2"/>
          </rPr>
          <t>Mark Lynch:</t>
        </r>
        <r>
          <rPr>
            <sz val="9"/>
            <color indexed="81"/>
            <rFont val="Tahoma"/>
            <family val="2"/>
          </rPr>
          <t xml:space="preserve">
Requires Tag Match / Escort Extension for software based reporting.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E6" authorId="0" shapeId="0" xr:uid="{00000000-0006-0000-0300-000001000000}">
      <text>
        <r>
          <rPr>
            <b/>
            <sz val="8"/>
            <color indexed="81"/>
            <rFont val="Tahoma"/>
            <family val="2"/>
          </rPr>
          <t>Mark Lynch:</t>
        </r>
        <r>
          <rPr>
            <sz val="8"/>
            <color indexed="81"/>
            <rFont val="Tahoma"/>
            <family val="2"/>
          </rPr>
          <t xml:space="preserve">
No more than 7 bus RFs per RS-485 bus</t>
        </r>
      </text>
    </comment>
    <comment ref="E14" authorId="0" shapeId="0" xr:uid="{00000000-0006-0000-0300-000002000000}">
      <text>
        <r>
          <rPr>
            <b/>
            <sz val="8"/>
            <color indexed="81"/>
            <rFont val="Tahoma"/>
            <family val="2"/>
          </rPr>
          <t>Mark Lynch:</t>
        </r>
        <r>
          <rPr>
            <sz val="8"/>
            <color indexed="81"/>
            <rFont val="Tahoma"/>
            <family val="2"/>
          </rPr>
          <t xml:space="preserve">
The ceiling mounted RF and IR readers use this bracket.</t>
        </r>
      </text>
    </comment>
    <comment ref="E15" authorId="0" shapeId="0" xr:uid="{00000000-0006-0000-0300-000003000000}">
      <text>
        <r>
          <rPr>
            <b/>
            <sz val="8"/>
            <color indexed="81"/>
            <rFont val="Tahoma"/>
            <family val="2"/>
          </rPr>
          <t>Mark Lynch:</t>
        </r>
        <r>
          <rPr>
            <sz val="8"/>
            <color indexed="81"/>
            <rFont val="Tahoma"/>
            <family val="2"/>
          </rPr>
          <t xml:space="preserve">
The standalone (round) style of LF Exciter use these. They should be mounted on the wall.</t>
        </r>
      </text>
    </comment>
    <comment ref="E17" authorId="0" shapeId="0" xr:uid="{00000000-0006-0000-0300-000004000000}">
      <text>
        <r>
          <rPr>
            <b/>
            <sz val="8"/>
            <color indexed="81"/>
            <rFont val="Tahoma"/>
            <family val="2"/>
          </rPr>
          <t>Mark Lynch:</t>
        </r>
        <r>
          <rPr>
            <sz val="8"/>
            <color indexed="81"/>
            <rFont val="Tahoma"/>
            <family val="2"/>
          </rPr>
          <t xml:space="preserve">
All devices require a reader cable. These can be made by the installers and should not exceed 30'. 10' cables also available.</t>
        </r>
      </text>
    </comment>
    <comment ref="E18" authorId="0" shapeId="0" xr:uid="{00000000-0006-0000-0300-000005000000}">
      <text>
        <r>
          <rPr>
            <b/>
            <sz val="8"/>
            <color indexed="81"/>
            <rFont val="Tahoma"/>
            <family val="2"/>
          </rPr>
          <t>Mark Lynch:</t>
        </r>
        <r>
          <rPr>
            <sz val="8"/>
            <color indexed="81"/>
            <rFont val="Tahoma"/>
            <family val="2"/>
          </rPr>
          <t xml:space="preserve">
In general, due to the 30' cable limit, one junction box per reader will be required. This can be edited to the system design.</t>
        </r>
      </text>
    </comment>
    <comment ref="C29" authorId="0" shapeId="0" xr:uid="{00000000-0006-0000-0300-000006000000}">
      <text>
        <r>
          <rPr>
            <b/>
            <sz val="9"/>
            <color indexed="81"/>
            <rFont val="Tahoma"/>
            <family val="2"/>
          </rPr>
          <t>Mark Lynch:</t>
        </r>
        <r>
          <rPr>
            <sz val="9"/>
            <color indexed="81"/>
            <rFont val="Tahoma"/>
            <family val="2"/>
          </rPr>
          <t xml:space="preserve">
For license count, does note include LF Standalone Secondary</t>
        </r>
      </text>
    </comment>
    <comment ref="C31" authorId="0" shapeId="0" xr:uid="{00000000-0006-0000-0300-000007000000}">
      <text>
        <r>
          <rPr>
            <b/>
            <sz val="8"/>
            <color indexed="81"/>
            <rFont val="Tahoma"/>
            <family val="2"/>
          </rPr>
          <t>Mark Lynch:</t>
        </r>
        <r>
          <rPr>
            <sz val="8"/>
            <color indexed="81"/>
            <rFont val="Tahoma"/>
            <family val="2"/>
          </rPr>
          <t xml:space="preserve">
This is an estimate using the maximum capabilities of the power supplies. It is always recommended to go higher on the current limit of the supply. This estimate does not compensate for auxiliary equipment such as buzzers or strobes.</t>
        </r>
      </text>
    </comment>
    <comment ref="C32" authorId="0" shapeId="0" xr:uid="{00000000-0006-0000-0300-000008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E6" authorId="0" shapeId="0" xr:uid="{00000000-0006-0000-0400-000001000000}">
      <text>
        <r>
          <rPr>
            <b/>
            <sz val="8"/>
            <color indexed="81"/>
            <rFont val="Tahoma"/>
            <family val="2"/>
          </rPr>
          <t>Mark Lynch:</t>
        </r>
        <r>
          <rPr>
            <sz val="8"/>
            <color indexed="81"/>
            <rFont val="Tahoma"/>
            <family val="2"/>
          </rPr>
          <t xml:space="preserve">
No more than 7 bus RFs per RS-485 bus</t>
        </r>
      </text>
    </comment>
    <comment ref="E14" authorId="0" shapeId="0" xr:uid="{00000000-0006-0000-0400-000002000000}">
      <text>
        <r>
          <rPr>
            <b/>
            <sz val="8"/>
            <color indexed="81"/>
            <rFont val="Tahoma"/>
            <family val="2"/>
          </rPr>
          <t>Mark Lynch:</t>
        </r>
        <r>
          <rPr>
            <sz val="8"/>
            <color indexed="81"/>
            <rFont val="Tahoma"/>
            <family val="2"/>
          </rPr>
          <t xml:space="preserve">
The ceiling mounted RF and IR readers use this bracket.</t>
        </r>
      </text>
    </comment>
    <comment ref="E15" authorId="0" shapeId="0" xr:uid="{00000000-0006-0000-0400-000003000000}">
      <text>
        <r>
          <rPr>
            <b/>
            <sz val="8"/>
            <color indexed="81"/>
            <rFont val="Tahoma"/>
            <family val="2"/>
          </rPr>
          <t>Mark Lynch:</t>
        </r>
        <r>
          <rPr>
            <sz val="8"/>
            <color indexed="81"/>
            <rFont val="Tahoma"/>
            <family val="2"/>
          </rPr>
          <t xml:space="preserve">
The standalone (round) style of LF Exciter use these. They should be mounted on the wall.</t>
        </r>
      </text>
    </comment>
    <comment ref="E17" authorId="0" shapeId="0" xr:uid="{00000000-0006-0000-0400-000004000000}">
      <text>
        <r>
          <rPr>
            <b/>
            <sz val="8"/>
            <color indexed="81"/>
            <rFont val="Tahoma"/>
            <family val="2"/>
          </rPr>
          <t>Mark Lynch:</t>
        </r>
        <r>
          <rPr>
            <sz val="8"/>
            <color indexed="81"/>
            <rFont val="Tahoma"/>
            <family val="2"/>
          </rPr>
          <t xml:space="preserve">
All devices require a reader cable. These can be made by the installers and should not exceed 30'. 10' cables also available.</t>
        </r>
      </text>
    </comment>
    <comment ref="E18" authorId="0" shapeId="0" xr:uid="{00000000-0006-0000-0400-000005000000}">
      <text>
        <r>
          <rPr>
            <b/>
            <sz val="8"/>
            <color indexed="81"/>
            <rFont val="Tahoma"/>
            <family val="2"/>
          </rPr>
          <t>Mark Lynch:</t>
        </r>
        <r>
          <rPr>
            <sz val="8"/>
            <color indexed="81"/>
            <rFont val="Tahoma"/>
            <family val="2"/>
          </rPr>
          <t xml:space="preserve">
In general, due to the 30' cable limit, one junction box per reader will be required. This can be edited to the system design.</t>
        </r>
      </text>
    </comment>
    <comment ref="C29" authorId="0" shapeId="0" xr:uid="{00000000-0006-0000-0400-000006000000}">
      <text>
        <r>
          <rPr>
            <b/>
            <sz val="9"/>
            <color indexed="81"/>
            <rFont val="Tahoma"/>
            <family val="2"/>
          </rPr>
          <t>Mark Lynch:</t>
        </r>
        <r>
          <rPr>
            <sz val="9"/>
            <color indexed="81"/>
            <rFont val="Tahoma"/>
            <family val="2"/>
          </rPr>
          <t xml:space="preserve">
For license count, does note include LF Standalone Secondary</t>
        </r>
      </text>
    </comment>
    <comment ref="C31" authorId="0" shapeId="0" xr:uid="{00000000-0006-0000-0400-000007000000}">
      <text>
        <r>
          <rPr>
            <b/>
            <sz val="8"/>
            <color indexed="81"/>
            <rFont val="Tahoma"/>
            <family val="2"/>
          </rPr>
          <t>Mark Lynch:</t>
        </r>
        <r>
          <rPr>
            <sz val="8"/>
            <color indexed="81"/>
            <rFont val="Tahoma"/>
            <family val="2"/>
          </rPr>
          <t xml:space="preserve">
This is an estimate using the maximum capabilities of the power supplies. It is always recommended to go higher on the current limit of the supply. This estimate does not compensate for auxiliary equipment such as buzzers or strobes.</t>
        </r>
      </text>
    </comment>
    <comment ref="C32" authorId="0" shapeId="0" xr:uid="{00000000-0006-0000-0400-000008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E6" authorId="0" shapeId="0" xr:uid="{00000000-0006-0000-0500-000001000000}">
      <text>
        <r>
          <rPr>
            <b/>
            <sz val="8"/>
            <color indexed="81"/>
            <rFont val="Tahoma"/>
            <family val="2"/>
          </rPr>
          <t>Mark Lynch:</t>
        </r>
        <r>
          <rPr>
            <sz val="8"/>
            <color indexed="81"/>
            <rFont val="Tahoma"/>
            <family val="2"/>
          </rPr>
          <t xml:space="preserve">
No more than 7 bus RFs per RS-485 bus</t>
        </r>
      </text>
    </comment>
    <comment ref="E14" authorId="0" shapeId="0" xr:uid="{00000000-0006-0000-0500-000002000000}">
      <text>
        <r>
          <rPr>
            <b/>
            <sz val="8"/>
            <color indexed="81"/>
            <rFont val="Tahoma"/>
            <family val="2"/>
          </rPr>
          <t>Mark Lynch:</t>
        </r>
        <r>
          <rPr>
            <sz val="8"/>
            <color indexed="81"/>
            <rFont val="Tahoma"/>
            <family val="2"/>
          </rPr>
          <t xml:space="preserve">
The ceiling mounted RF and IR readers use this bracket.</t>
        </r>
      </text>
    </comment>
    <comment ref="E15" authorId="0" shapeId="0" xr:uid="{00000000-0006-0000-0500-000003000000}">
      <text>
        <r>
          <rPr>
            <b/>
            <sz val="8"/>
            <color indexed="81"/>
            <rFont val="Tahoma"/>
            <family val="2"/>
          </rPr>
          <t>Mark Lynch:</t>
        </r>
        <r>
          <rPr>
            <sz val="8"/>
            <color indexed="81"/>
            <rFont val="Tahoma"/>
            <family val="2"/>
          </rPr>
          <t xml:space="preserve">
The standalone (round) style of LF Exciter use these. They should be mounted on the wall.</t>
        </r>
      </text>
    </comment>
    <comment ref="E17" authorId="0" shapeId="0" xr:uid="{00000000-0006-0000-0500-000004000000}">
      <text>
        <r>
          <rPr>
            <b/>
            <sz val="8"/>
            <color indexed="81"/>
            <rFont val="Tahoma"/>
            <family val="2"/>
          </rPr>
          <t>Mark Lynch:</t>
        </r>
        <r>
          <rPr>
            <sz val="8"/>
            <color indexed="81"/>
            <rFont val="Tahoma"/>
            <family val="2"/>
          </rPr>
          <t xml:space="preserve">
All devices require a reader cable. These can be made by the installers and should not exceed 30'. 10' cables also available.</t>
        </r>
      </text>
    </comment>
    <comment ref="E18" authorId="0" shapeId="0" xr:uid="{00000000-0006-0000-0500-000005000000}">
      <text>
        <r>
          <rPr>
            <b/>
            <sz val="8"/>
            <color indexed="81"/>
            <rFont val="Tahoma"/>
            <family val="2"/>
          </rPr>
          <t>Mark Lynch:</t>
        </r>
        <r>
          <rPr>
            <sz val="8"/>
            <color indexed="81"/>
            <rFont val="Tahoma"/>
            <family val="2"/>
          </rPr>
          <t xml:space="preserve">
In general, due to the 30' cable limit, one junction box per reader will be required. This can be edited to the system design.</t>
        </r>
      </text>
    </comment>
    <comment ref="C29" authorId="0" shapeId="0" xr:uid="{00000000-0006-0000-0500-000006000000}">
      <text>
        <r>
          <rPr>
            <b/>
            <sz val="9"/>
            <color indexed="81"/>
            <rFont val="Tahoma"/>
            <family val="2"/>
          </rPr>
          <t>Mark Lynch:</t>
        </r>
        <r>
          <rPr>
            <sz val="9"/>
            <color indexed="81"/>
            <rFont val="Tahoma"/>
            <family val="2"/>
          </rPr>
          <t xml:space="preserve">
For license count, does note include LF Standalone Secondary</t>
        </r>
      </text>
    </comment>
    <comment ref="C31" authorId="0" shapeId="0" xr:uid="{00000000-0006-0000-0500-000007000000}">
      <text>
        <r>
          <rPr>
            <b/>
            <sz val="8"/>
            <color indexed="81"/>
            <rFont val="Tahoma"/>
            <family val="2"/>
          </rPr>
          <t>Mark Lynch:</t>
        </r>
        <r>
          <rPr>
            <sz val="8"/>
            <color indexed="81"/>
            <rFont val="Tahoma"/>
            <family val="2"/>
          </rPr>
          <t xml:space="preserve">
This is an estimate using the maximum capabilities of the power supplies. It is always recommended to go higher on the current limit of the supply. This estimate does not compensate for auxiliary equipment such as buzzers or strobes.</t>
        </r>
      </text>
    </comment>
    <comment ref="C32" authorId="0" shapeId="0" xr:uid="{00000000-0006-0000-0500-000008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E6" authorId="0" shapeId="0" xr:uid="{00000000-0006-0000-0600-000001000000}">
      <text>
        <r>
          <rPr>
            <b/>
            <sz val="8"/>
            <color indexed="81"/>
            <rFont val="Tahoma"/>
            <family val="2"/>
          </rPr>
          <t>Mark Lynch:</t>
        </r>
        <r>
          <rPr>
            <sz val="8"/>
            <color indexed="81"/>
            <rFont val="Tahoma"/>
            <family val="2"/>
          </rPr>
          <t xml:space="preserve">
No more than 7 bus RFs per RS-485 bus</t>
        </r>
      </text>
    </comment>
    <comment ref="E14" authorId="0" shapeId="0" xr:uid="{00000000-0006-0000-0600-000002000000}">
      <text>
        <r>
          <rPr>
            <b/>
            <sz val="8"/>
            <color indexed="81"/>
            <rFont val="Tahoma"/>
            <family val="2"/>
          </rPr>
          <t>Mark Lynch:</t>
        </r>
        <r>
          <rPr>
            <sz val="8"/>
            <color indexed="81"/>
            <rFont val="Tahoma"/>
            <family val="2"/>
          </rPr>
          <t xml:space="preserve">
The ceiling mounted RF and IR readers use this bracket.</t>
        </r>
      </text>
    </comment>
    <comment ref="E15" authorId="0" shapeId="0" xr:uid="{00000000-0006-0000-0600-000003000000}">
      <text>
        <r>
          <rPr>
            <b/>
            <sz val="8"/>
            <color indexed="81"/>
            <rFont val="Tahoma"/>
            <family val="2"/>
          </rPr>
          <t>Mark Lynch:</t>
        </r>
        <r>
          <rPr>
            <sz val="8"/>
            <color indexed="81"/>
            <rFont val="Tahoma"/>
            <family val="2"/>
          </rPr>
          <t xml:space="preserve">
The standalone (round) style of LF Exciter use these. They should be mounted on the wall.</t>
        </r>
      </text>
    </comment>
    <comment ref="E17" authorId="0" shapeId="0" xr:uid="{00000000-0006-0000-0600-000004000000}">
      <text>
        <r>
          <rPr>
            <b/>
            <sz val="8"/>
            <color indexed="81"/>
            <rFont val="Tahoma"/>
            <family val="2"/>
          </rPr>
          <t>Mark Lynch:</t>
        </r>
        <r>
          <rPr>
            <sz val="8"/>
            <color indexed="81"/>
            <rFont val="Tahoma"/>
            <family val="2"/>
          </rPr>
          <t xml:space="preserve">
All devices require a reader cable. These can be made by the installers and should not exceed 30'. 10' cables also available.</t>
        </r>
      </text>
    </comment>
    <comment ref="E18" authorId="0" shapeId="0" xr:uid="{00000000-0006-0000-0600-000005000000}">
      <text>
        <r>
          <rPr>
            <b/>
            <sz val="8"/>
            <color indexed="81"/>
            <rFont val="Tahoma"/>
            <family val="2"/>
          </rPr>
          <t>Mark Lynch:</t>
        </r>
        <r>
          <rPr>
            <sz val="8"/>
            <color indexed="81"/>
            <rFont val="Tahoma"/>
            <family val="2"/>
          </rPr>
          <t xml:space="preserve">
In general, due to the 30' cable limit, one junction box per reader will be required. This can be edited to the system design.</t>
        </r>
      </text>
    </comment>
    <comment ref="C29" authorId="0" shapeId="0" xr:uid="{00000000-0006-0000-0600-000006000000}">
      <text>
        <r>
          <rPr>
            <b/>
            <sz val="9"/>
            <color indexed="81"/>
            <rFont val="Tahoma"/>
            <family val="2"/>
          </rPr>
          <t>Mark Lynch:</t>
        </r>
        <r>
          <rPr>
            <sz val="9"/>
            <color indexed="81"/>
            <rFont val="Tahoma"/>
            <family val="2"/>
          </rPr>
          <t xml:space="preserve">
For license count, does note include LF Standalone Secondary</t>
        </r>
      </text>
    </comment>
    <comment ref="C31" authorId="0" shapeId="0" xr:uid="{00000000-0006-0000-0600-000007000000}">
      <text>
        <r>
          <rPr>
            <b/>
            <sz val="8"/>
            <color indexed="81"/>
            <rFont val="Tahoma"/>
            <family val="2"/>
          </rPr>
          <t>Mark Lynch:</t>
        </r>
        <r>
          <rPr>
            <sz val="8"/>
            <color indexed="81"/>
            <rFont val="Tahoma"/>
            <family val="2"/>
          </rPr>
          <t xml:space="preserve">
This is an estimate using the maximum capabilities of the power supplies. It is always recommended to go higher on the current limit of the supply. This estimate does not compensate for auxiliary equipment such as buzzers or strobes.</t>
        </r>
      </text>
    </comment>
    <comment ref="C32" authorId="0" shapeId="0" xr:uid="{00000000-0006-0000-0600-000008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E6" authorId="0" shapeId="0" xr:uid="{00000000-0006-0000-0700-000001000000}">
      <text>
        <r>
          <rPr>
            <b/>
            <sz val="8"/>
            <color indexed="81"/>
            <rFont val="Tahoma"/>
            <family val="2"/>
          </rPr>
          <t>Mark Lynch:</t>
        </r>
        <r>
          <rPr>
            <sz val="8"/>
            <color indexed="81"/>
            <rFont val="Tahoma"/>
            <family val="2"/>
          </rPr>
          <t xml:space="preserve">
No more than 7 bus RFs per RS-485 bus</t>
        </r>
      </text>
    </comment>
    <comment ref="E14" authorId="0" shapeId="0" xr:uid="{00000000-0006-0000-0700-000002000000}">
      <text>
        <r>
          <rPr>
            <b/>
            <sz val="8"/>
            <color indexed="81"/>
            <rFont val="Tahoma"/>
            <family val="2"/>
          </rPr>
          <t>Mark Lynch:</t>
        </r>
        <r>
          <rPr>
            <sz val="8"/>
            <color indexed="81"/>
            <rFont val="Tahoma"/>
            <family val="2"/>
          </rPr>
          <t xml:space="preserve">
The ceiling mounted RF and IR readers use this bracket.</t>
        </r>
      </text>
    </comment>
    <comment ref="E15" authorId="0" shapeId="0" xr:uid="{00000000-0006-0000-0700-000003000000}">
      <text>
        <r>
          <rPr>
            <b/>
            <sz val="8"/>
            <color indexed="81"/>
            <rFont val="Tahoma"/>
            <family val="2"/>
          </rPr>
          <t>Mark Lynch:</t>
        </r>
        <r>
          <rPr>
            <sz val="8"/>
            <color indexed="81"/>
            <rFont val="Tahoma"/>
            <family val="2"/>
          </rPr>
          <t xml:space="preserve">
The standalone (round) style of LF Exciter use these. They should be mounted on the wall.</t>
        </r>
      </text>
    </comment>
    <comment ref="E17" authorId="0" shapeId="0" xr:uid="{00000000-0006-0000-0700-000004000000}">
      <text>
        <r>
          <rPr>
            <b/>
            <sz val="8"/>
            <color indexed="81"/>
            <rFont val="Tahoma"/>
            <family val="2"/>
          </rPr>
          <t>Mark Lynch:</t>
        </r>
        <r>
          <rPr>
            <sz val="8"/>
            <color indexed="81"/>
            <rFont val="Tahoma"/>
            <family val="2"/>
          </rPr>
          <t xml:space="preserve">
All devices require a reader cable. These can be made by the installers and should not exceed 30'. 10' cables also available.</t>
        </r>
      </text>
    </comment>
    <comment ref="E18" authorId="0" shapeId="0" xr:uid="{00000000-0006-0000-0700-000005000000}">
      <text>
        <r>
          <rPr>
            <b/>
            <sz val="8"/>
            <color indexed="81"/>
            <rFont val="Tahoma"/>
            <family val="2"/>
          </rPr>
          <t>Mark Lynch:</t>
        </r>
        <r>
          <rPr>
            <sz val="8"/>
            <color indexed="81"/>
            <rFont val="Tahoma"/>
            <family val="2"/>
          </rPr>
          <t xml:space="preserve">
In general, due to the 30' cable limit, one junction box per reader will be required. This can be edited to the system design.</t>
        </r>
      </text>
    </comment>
    <comment ref="C29" authorId="0" shapeId="0" xr:uid="{00000000-0006-0000-0700-000006000000}">
      <text>
        <r>
          <rPr>
            <b/>
            <sz val="9"/>
            <color indexed="81"/>
            <rFont val="Tahoma"/>
            <family val="2"/>
          </rPr>
          <t>Mark Lynch:</t>
        </r>
        <r>
          <rPr>
            <sz val="9"/>
            <color indexed="81"/>
            <rFont val="Tahoma"/>
            <family val="2"/>
          </rPr>
          <t xml:space="preserve">
For license count, does note include LF Standalone Secondary</t>
        </r>
      </text>
    </comment>
    <comment ref="C31" authorId="0" shapeId="0" xr:uid="{00000000-0006-0000-0700-000007000000}">
      <text>
        <r>
          <rPr>
            <b/>
            <sz val="8"/>
            <color indexed="81"/>
            <rFont val="Tahoma"/>
            <family val="2"/>
          </rPr>
          <t>Mark Lynch:</t>
        </r>
        <r>
          <rPr>
            <sz val="8"/>
            <color indexed="81"/>
            <rFont val="Tahoma"/>
            <family val="2"/>
          </rPr>
          <t xml:space="preserve">
This is an estimate using the maximum capabilities of the power supplies. It is always recommended to go higher on the current limit of the supply. This estimate does not compensate for auxiliary equipment such as buzzers or strobes.</t>
        </r>
      </text>
    </comment>
    <comment ref="C32" authorId="0" shapeId="0" xr:uid="{00000000-0006-0000-0700-000008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Mark Lynch</author>
  </authors>
  <commentList>
    <comment ref="E6" authorId="0" shapeId="0" xr:uid="{00000000-0006-0000-0800-000001000000}">
      <text>
        <r>
          <rPr>
            <b/>
            <sz val="8"/>
            <color indexed="81"/>
            <rFont val="Tahoma"/>
            <family val="2"/>
          </rPr>
          <t>Mark Lynch:</t>
        </r>
        <r>
          <rPr>
            <sz val="8"/>
            <color indexed="81"/>
            <rFont val="Tahoma"/>
            <family val="2"/>
          </rPr>
          <t xml:space="preserve">
No more than 7 bus RFs per RS-485 bus</t>
        </r>
      </text>
    </comment>
    <comment ref="E14" authorId="0" shapeId="0" xr:uid="{00000000-0006-0000-0800-000002000000}">
      <text>
        <r>
          <rPr>
            <b/>
            <sz val="8"/>
            <color indexed="81"/>
            <rFont val="Tahoma"/>
            <family val="2"/>
          </rPr>
          <t>Mark Lynch:</t>
        </r>
        <r>
          <rPr>
            <sz val="8"/>
            <color indexed="81"/>
            <rFont val="Tahoma"/>
            <family val="2"/>
          </rPr>
          <t xml:space="preserve">
The ceiling mounted RF and IR readers use this bracket.</t>
        </r>
      </text>
    </comment>
    <comment ref="E15" authorId="0" shapeId="0" xr:uid="{00000000-0006-0000-0800-000003000000}">
      <text>
        <r>
          <rPr>
            <b/>
            <sz val="8"/>
            <color indexed="81"/>
            <rFont val="Tahoma"/>
            <family val="2"/>
          </rPr>
          <t>Mark Lynch:</t>
        </r>
        <r>
          <rPr>
            <sz val="8"/>
            <color indexed="81"/>
            <rFont val="Tahoma"/>
            <family val="2"/>
          </rPr>
          <t xml:space="preserve">
The standalone (round) style of LF Exciter use these. They should be mounted on the wall.</t>
        </r>
      </text>
    </comment>
    <comment ref="E17" authorId="0" shapeId="0" xr:uid="{00000000-0006-0000-0800-000004000000}">
      <text>
        <r>
          <rPr>
            <b/>
            <sz val="8"/>
            <color indexed="81"/>
            <rFont val="Tahoma"/>
            <family val="2"/>
          </rPr>
          <t>Mark Lynch:</t>
        </r>
        <r>
          <rPr>
            <sz val="8"/>
            <color indexed="81"/>
            <rFont val="Tahoma"/>
            <family val="2"/>
          </rPr>
          <t xml:space="preserve">
All devices require a reader cable. These can be made by the installers and should not exceed 30'. 10' cables also available.</t>
        </r>
      </text>
    </comment>
    <comment ref="E18" authorId="0" shapeId="0" xr:uid="{00000000-0006-0000-0800-000005000000}">
      <text>
        <r>
          <rPr>
            <b/>
            <sz val="8"/>
            <color indexed="81"/>
            <rFont val="Tahoma"/>
            <family val="2"/>
          </rPr>
          <t>Mark Lynch:</t>
        </r>
        <r>
          <rPr>
            <sz val="8"/>
            <color indexed="81"/>
            <rFont val="Tahoma"/>
            <family val="2"/>
          </rPr>
          <t xml:space="preserve">
In general, due to the 30' cable limit, one junction box per reader will be required. This can be edited to the system design.</t>
        </r>
      </text>
    </comment>
    <comment ref="C29" authorId="0" shapeId="0" xr:uid="{00000000-0006-0000-0800-000006000000}">
      <text>
        <r>
          <rPr>
            <b/>
            <sz val="9"/>
            <color indexed="81"/>
            <rFont val="Tahoma"/>
            <family val="2"/>
          </rPr>
          <t>Mark Lynch:</t>
        </r>
        <r>
          <rPr>
            <sz val="9"/>
            <color indexed="81"/>
            <rFont val="Tahoma"/>
            <family val="2"/>
          </rPr>
          <t xml:space="preserve">
For license count, does note include LF Standalone Secondary</t>
        </r>
      </text>
    </comment>
    <comment ref="C31" authorId="0" shapeId="0" xr:uid="{00000000-0006-0000-0800-000007000000}">
      <text>
        <r>
          <rPr>
            <b/>
            <sz val="8"/>
            <color indexed="81"/>
            <rFont val="Tahoma"/>
            <family val="2"/>
          </rPr>
          <t>Mark Lynch:</t>
        </r>
        <r>
          <rPr>
            <sz val="8"/>
            <color indexed="81"/>
            <rFont val="Tahoma"/>
            <family val="2"/>
          </rPr>
          <t xml:space="preserve">
This is an estimate using the maximum capabilities of the power supplies. It is always recommended to go higher on the current limit of the supply. This estimate does not compensate for auxiliary equipment such as buzzers or strobes.</t>
        </r>
      </text>
    </comment>
    <comment ref="C32" authorId="0" shapeId="0" xr:uid="{00000000-0006-0000-0800-000008000000}">
      <text>
        <r>
          <rPr>
            <b/>
            <sz val="8"/>
            <color indexed="81"/>
            <rFont val="Tahoma"/>
            <family val="2"/>
          </rPr>
          <t>Mark Lynch:</t>
        </r>
        <r>
          <rPr>
            <sz val="8"/>
            <color indexed="81"/>
            <rFont val="Tahoma"/>
            <family val="2"/>
          </rPr>
          <t xml:space="preserve">
This checks that you do not have more than 15 devices per RF IP Master or ELC. It does not check to see if you have more than 7 bus RFs per RF Master or ELC.</t>
        </r>
      </text>
    </comment>
  </commentList>
</comments>
</file>

<file path=xl/sharedStrings.xml><?xml version="1.0" encoding="utf-8"?>
<sst xmlns="http://schemas.openxmlformats.org/spreadsheetml/2006/main" count="1307" uniqueCount="288">
  <si>
    <t>Description</t>
  </si>
  <si>
    <t>Price</t>
  </si>
  <si>
    <t>Software</t>
  </si>
  <si>
    <t>Subtotal</t>
  </si>
  <si>
    <t>5-ERS04202</t>
  </si>
  <si>
    <t>For Use By Certified Integrators Only</t>
  </si>
  <si>
    <t>GENERAL TERMS:</t>
  </si>
  <si>
    <t>5-ERS09051</t>
  </si>
  <si>
    <t>Nurse Call Auto-Cancellation Extension</t>
  </si>
  <si>
    <t>Elpas Hardware</t>
  </si>
  <si>
    <t>5-RFB00433</t>
  </si>
  <si>
    <t>Transmitters</t>
  </si>
  <si>
    <t>5-IRB00880</t>
  </si>
  <si>
    <t>IR Reader, RS-485, Ceiling</t>
  </si>
  <si>
    <t>5-ERS04201</t>
  </si>
  <si>
    <t>Incremental License for additional 16 Elpas Readers</t>
  </si>
  <si>
    <t>Total</t>
  </si>
  <si>
    <t>5-RDT09100</t>
  </si>
  <si>
    <t>Reader Mounting Bracket  (5 units)</t>
  </si>
  <si>
    <t>5-ERS04301</t>
  </si>
  <si>
    <t>EV2 BabyMatch / Baby Management User Interface</t>
  </si>
  <si>
    <t>Sheet Number</t>
  </si>
  <si>
    <t>5-RDT09113</t>
  </si>
  <si>
    <t>Reader Surface-Mount Plastic Ring (5 units)</t>
  </si>
  <si>
    <t>RS-485 Junction Box, 4 RJ11 Ports</t>
  </si>
  <si>
    <t>5-ALA00125-12</t>
  </si>
  <si>
    <t>LF Exciter, Bus, Primary, I/O (1/1), 1.5m, 125KHz</t>
  </si>
  <si>
    <t>ELPAS Local Controller, Ceiling, 433MHz</t>
  </si>
  <si>
    <t>5-ELC00433-1</t>
  </si>
  <si>
    <t>ELPAS Local Controller, Wall, 433MHz, I/O (7/5)</t>
  </si>
  <si>
    <t>RF Reader, IP, 433MHz, Ceiling</t>
  </si>
  <si>
    <t>RF Reader, IP, 433MHz, Wall</t>
  </si>
  <si>
    <t>5-RFB00433-1</t>
  </si>
  <si>
    <t xml:space="preserve">RF Reader, BUS, 433MHz, Ceiling </t>
  </si>
  <si>
    <t>RF Reader, BUS, 433MHz, Wall</t>
  </si>
  <si>
    <t>5-IRB00880-1</t>
  </si>
  <si>
    <t>IR Reader, IP, Ceiling</t>
  </si>
  <si>
    <t>RF/ELC</t>
  </si>
  <si>
    <t>IR</t>
  </si>
  <si>
    <t>5-ERS02603</t>
  </si>
  <si>
    <t xml:space="preserve">Power Supply, 24VDC, 10 Amp, Linear </t>
  </si>
  <si>
    <t>LF</t>
  </si>
  <si>
    <t>ACC</t>
  </si>
  <si>
    <t>PS</t>
  </si>
  <si>
    <t>IO</t>
  </si>
  <si>
    <t>EDP</t>
  </si>
  <si>
    <t>I/O, Bus, 6/6</t>
  </si>
  <si>
    <t>I/O, IP, 6/6</t>
  </si>
  <si>
    <t>5-EDP00485</t>
  </si>
  <si>
    <t>ELPAS Display Panel, Bus</t>
  </si>
  <si>
    <t>5-EDP00485-1</t>
  </si>
  <si>
    <t>ELPAS Display Panel, IP</t>
  </si>
  <si>
    <t>Total Readers</t>
  </si>
  <si>
    <t>Approx. Amp</t>
  </si>
  <si>
    <t>PS OK??</t>
  </si>
  <si>
    <t>Bus Dev OK??</t>
  </si>
  <si>
    <t>5-ERS09048</t>
  </si>
  <si>
    <t>Communication Package (Pager+SMS+Email)</t>
  </si>
  <si>
    <t>5-ERS08035</t>
  </si>
  <si>
    <t>Tag Match Extension for Tag Escort and Match Tests</t>
  </si>
  <si>
    <t>5-ELC00433-4</t>
  </si>
  <si>
    <t>MISC</t>
  </si>
  <si>
    <t>RF Reader, IP, 433MHz, ELC, Outdoor</t>
  </si>
  <si>
    <t>5-CBL00201</t>
  </si>
  <si>
    <t>Coax Cable 3.0M/10 Ft for Omni-Directional / Yagi Antennas</t>
  </si>
  <si>
    <t>5-AN004303</t>
  </si>
  <si>
    <t>Long-Range Yagi Directional Antenna</t>
  </si>
  <si>
    <t>5-AN004305-1</t>
  </si>
  <si>
    <t>Long-Range Omni-Directional Antenna + MBCN</t>
  </si>
  <si>
    <t>Miscellaneous/Spare Parts</t>
  </si>
  <si>
    <t>Outdoor</t>
  </si>
  <si>
    <t>5-HLA00125</t>
  </si>
  <si>
    <t>Handheld LF Exciter</t>
  </si>
  <si>
    <t>5-LFM00125</t>
  </si>
  <si>
    <t>LF Field Meter</t>
  </si>
  <si>
    <t>5-IOX00001</t>
  </si>
  <si>
    <t xml:space="preserve">End-of-Line Terminator for Elpas &amp; AXS inputs (5 units) </t>
  </si>
  <si>
    <t>5-LFA00125</t>
  </si>
  <si>
    <t>5-ETC00433C</t>
  </si>
  <si>
    <t>Asset Tracking Tag, IR/RF/LF, 433 MHz, 10/10/60</t>
  </si>
  <si>
    <t>5-ETC09001</t>
  </si>
  <si>
    <t>5-ETC09002</t>
  </si>
  <si>
    <t>5-ETC09003</t>
  </si>
  <si>
    <t>5-PB063011</t>
  </si>
  <si>
    <t>5-WTA90007</t>
  </si>
  <si>
    <t>5-500130</t>
  </si>
  <si>
    <t>5-PBA90001</t>
  </si>
  <si>
    <t xml:space="preserve">Personnel Identity Badge - Clip Attachment (25 pcs) </t>
  </si>
  <si>
    <t>5-PBA90002</t>
  </si>
  <si>
    <t xml:space="preserve">Open Front Card Holder, Horizontal/Vertical, (5 pcs) </t>
  </si>
  <si>
    <t>5-PBA90004</t>
  </si>
  <si>
    <t xml:space="preserve">Personnel Identity Badge - Label Covers (25 pcs) </t>
  </si>
  <si>
    <t>Elpas Transmitters and Accessories</t>
  </si>
  <si>
    <t>Elpas Tags</t>
  </si>
  <si>
    <t>Asset</t>
  </si>
  <si>
    <t>Tag Total</t>
  </si>
  <si>
    <t>Grand Total</t>
  </si>
  <si>
    <t>Total Tags/Tag Accessories for the System</t>
  </si>
  <si>
    <t>Products can only be returned if defective during warranty.</t>
  </si>
  <si>
    <t>NOTE:</t>
  </si>
  <si>
    <t>5-STE00433-1</t>
  </si>
  <si>
    <t>5-ERS08320</t>
  </si>
  <si>
    <t>5-ERS01905-30P</t>
  </si>
  <si>
    <t>Reader Certified Cable w/ 2 RJ12 (6 pin) connectors 30 feet Plenum</t>
  </si>
  <si>
    <t>Deleting or renaming any sheets below will invalidate the PS and Bus Dev values.</t>
  </si>
  <si>
    <t>5-TBA00433</t>
  </si>
  <si>
    <t>Wireless Input Module, RF/LF, 433Mhz</t>
  </si>
  <si>
    <t>Prox</t>
  </si>
  <si>
    <t>5-ERS02605</t>
  </si>
  <si>
    <t xml:space="preserve">Power Supply, 24VDC, 6 Amp, Linear (4 fused outputs) UL Listed </t>
  </si>
  <si>
    <t>Power Supply, 24VDC, 6 Amp, Linear (4 fused outputs) UL Listed</t>
  </si>
  <si>
    <t>Proximity Reader, Bus, 125KHz, requires prox cards</t>
  </si>
  <si>
    <t>5-WIF00485</t>
  </si>
  <si>
    <t>Wiegand Interface Adapter</t>
  </si>
  <si>
    <t>3-6026-0</t>
  </si>
  <si>
    <t>CL-8A, Keypad for interior use only, 56 codes</t>
  </si>
  <si>
    <t>Category</t>
  </si>
  <si>
    <t>Part Number</t>
  </si>
  <si>
    <t>Cost</t>
  </si>
  <si>
    <t>Quantity</t>
  </si>
  <si>
    <t>Level 3</t>
  </si>
  <si>
    <t>Level 4</t>
  </si>
  <si>
    <t>Level 5</t>
  </si>
  <si>
    <t>Level 6</t>
  </si>
  <si>
    <t>Level 7</t>
  </si>
  <si>
    <t>Level 8</t>
  </si>
  <si>
    <t>Level 9</t>
  </si>
  <si>
    <t>Level 10</t>
  </si>
  <si>
    <t>Level 11</t>
  </si>
  <si>
    <t>Level 12</t>
  </si>
  <si>
    <t>Level 13</t>
  </si>
  <si>
    <t># XMTR</t>
  </si>
  <si>
    <t># RDR</t>
  </si>
  <si>
    <t>5-ERS04101</t>
  </si>
  <si>
    <t>5-WTD09009</t>
  </si>
  <si>
    <t>RF Bus Check</t>
  </si>
  <si>
    <t>RF Bus OK??</t>
  </si>
  <si>
    <t>Keypads</t>
  </si>
  <si>
    <t>3-6219-0, CL-83M</t>
  </si>
  <si>
    <t>3-6218-0, CL-83</t>
  </si>
  <si>
    <t>3-6217-0, CL-80</t>
  </si>
  <si>
    <t>3-6206-0, CL-8</t>
  </si>
  <si>
    <t>Keypad for interior use only, 56 codes</t>
  </si>
  <si>
    <t>Keypad for interior/exterior use, 56 codes</t>
  </si>
  <si>
    <t>CL-8 EXT metallic interior/exterior keypad, anti vandal</t>
  </si>
  <si>
    <t>CL-8 EXT mullion metallic interior/exterior keypad, anti-vandal</t>
  </si>
  <si>
    <t>Elpas Americas</t>
  </si>
  <si>
    <t>Please contact Elpas Sales Representative for General Availability date.</t>
  </si>
  <si>
    <t>5-Redundant</t>
  </si>
  <si>
    <t>Redundant Server License</t>
  </si>
  <si>
    <t>Software Total</t>
  </si>
  <si>
    <t>Transmitter Totals</t>
  </si>
  <si>
    <t>Network Hardware</t>
  </si>
  <si>
    <t>5-ERS08033</t>
  </si>
  <si>
    <t>CCTV Integration</t>
  </si>
  <si>
    <t>Temperature Monitoring Module</t>
  </si>
  <si>
    <t>Hardware (Network and Transmitter) Total</t>
  </si>
  <si>
    <t xml:space="preserve">Elpas manufactures against customer orders and therefore we do not offer a returns program. </t>
  </si>
  <si>
    <t>Intrusion</t>
  </si>
  <si>
    <t>5-MAG00433</t>
  </si>
  <si>
    <t>Wireless Magnetic Contact, RF, 433MHz</t>
  </si>
  <si>
    <t>5-PIR00433</t>
  </si>
  <si>
    <t>Wireless Curtain PIR Detector, RF, 433MHz</t>
  </si>
  <si>
    <t>5-WTD09012</t>
  </si>
  <si>
    <t>Additional Software</t>
  </si>
  <si>
    <t>Temp</t>
  </si>
  <si>
    <t>Virtual Machine must have a static MAC address.</t>
  </si>
  <si>
    <t>BTE</t>
  </si>
  <si>
    <t xml:space="preserve">5-BTE00433-1    </t>
  </si>
  <si>
    <t xml:space="preserve">Charm, RF/LF </t>
  </si>
  <si>
    <t>5-WTD41120-0</t>
  </si>
  <si>
    <t>Mother Bracelet, IR/RF/LF/LFTX, Button</t>
  </si>
  <si>
    <t>5-LW241020-0</t>
  </si>
  <si>
    <t>Lone Worker, IR/RF/LF</t>
  </si>
  <si>
    <t>5-LW241037-0</t>
  </si>
  <si>
    <t>Lone Worker Fall Detect, IR/RF/LF</t>
  </si>
  <si>
    <t>5-LW009800-0</t>
  </si>
  <si>
    <t>5-LW009700-0</t>
  </si>
  <si>
    <t>Lock pin removal magnet **Required for 5-WTA90007</t>
  </si>
  <si>
    <t>5-RFB10433-2</t>
  </si>
  <si>
    <t>5-RFB10433-5</t>
  </si>
  <si>
    <t>5-ELC10433-3</t>
  </si>
  <si>
    <t>5-JBA10485</t>
  </si>
  <si>
    <t>5-IOB10485</t>
  </si>
  <si>
    <t>5-IOB10485-1</t>
  </si>
  <si>
    <t>Hardware Totals (READ ONLY)</t>
  </si>
  <si>
    <t>Transmitter Total</t>
  </si>
  <si>
    <t>Elpas Network Hardware Total</t>
  </si>
  <si>
    <t>Extensions</t>
  </si>
  <si>
    <t>Base</t>
  </si>
  <si>
    <t>END NOTES:</t>
  </si>
  <si>
    <t>Incremental License for additional concurrent Client Connection (Work Station)</t>
  </si>
  <si>
    <t>EIRIS Base Package for Elpas, 3 Client, 10 Elpas Reader license</t>
  </si>
  <si>
    <t>Quote does not include wiring, IP network components, or client or server computers.</t>
  </si>
  <si>
    <t>5-BTE90003</t>
  </si>
  <si>
    <t>Temperature Sensor Tag, RF, 433MHz (requires S/W ext)</t>
  </si>
  <si>
    <t>Charm</t>
  </si>
  <si>
    <t>5-WTD41100-0</t>
  </si>
  <si>
    <t>Elpas Bracelet Module</t>
  </si>
  <si>
    <t>Security Band (Pack of 5)</t>
  </si>
  <si>
    <t>Badge</t>
  </si>
  <si>
    <t>5-PBA00433-L</t>
  </si>
  <si>
    <t>Elpas Badge w/IR, 60 sec RF</t>
  </si>
  <si>
    <t>Shield</t>
  </si>
  <si>
    <t>Bracelet</t>
  </si>
  <si>
    <t>5-ALC01021-0</t>
  </si>
  <si>
    <t>LF Bus Beacon, No RF, 4.5M, 125kHz</t>
  </si>
  <si>
    <t>5-ALC90001</t>
  </si>
  <si>
    <t>ALC LF Drop Ceiling Mounting Bracket (5 units)</t>
  </si>
  <si>
    <t>5-ALC001123-0</t>
  </si>
  <si>
    <t>ALC Outdoor LF Bus Beacon with Loop, 125kHz</t>
  </si>
  <si>
    <t>LF Beacon, Bus, Primary, I/O (1/1), 1.5M, 125kHz</t>
  </si>
  <si>
    <t>I/O, Bus, 6 Inputs / 6 Outputs</t>
  </si>
  <si>
    <t>I/O, IP, 6 Inputs / 6 Outputs</t>
  </si>
  <si>
    <t>5-WTD09016</t>
  </si>
  <si>
    <t>5-WTD09017</t>
  </si>
  <si>
    <t>5-ALC01023-0</t>
  </si>
  <si>
    <t>5-TRC00433-2</t>
  </si>
  <si>
    <t>RF Transmitter for ALC Supervision</t>
  </si>
  <si>
    <t>Computer Specifications for Eiris Server 5.0</t>
  </si>
  <si>
    <t>Every Elpas implementation is unique. Larger systems with more Readers, more Badges, and more Clients will</t>
  </si>
  <si>
    <t>require more processing power than smaller systems. Specifications should be scaled to meet the demands and</t>
  </si>
  <si>
    <t>scope of the application. Eiris Server benefits most directly from CPU clock speed and CPU cache. In very large</t>
  </si>
  <si>
    <t>systems where badge traffic may exceed 1000 messages per second, a multi-server environment may be</t>
  </si>
  <si>
    <t>required. If you have any questions, please contact Elpas Technical Support.</t>
  </si>
  <si>
    <t>Recommended Hardware, Single Server (1000 messages/second or less)</t>
  </si>
  <si>
    <t>1x Intel® Xeon® E5-2637 v3 CPU; 3.5GHz, 15M Cache</t>
  </si>
  <si>
    <t>16GB 2133MHz RAM</t>
  </si>
  <si>
    <t>3-5 x 2TB HDD in a RAID 5 Array</t>
  </si>
  <si>
    <t>2+ x 10/100/1000 Ethernet Network Interface Card (Additional NICs may be required)</t>
  </si>
  <si>
    <t>DVD/RW Drive</t>
  </si>
  <si>
    <t>USB 2.0 or Higher</t>
  </si>
  <si>
    <t>1024x768 Display or Higher</t>
  </si>
  <si>
    <t>Sound Card w/ Speakers</t>
  </si>
  <si>
    <t>Uninterruptible Power Supply (UPS) - 500VA (min)</t>
  </si>
  <si>
    <t>Recommended Hardware, Host Server, Multi-Server Configuration (1000-2000 messages/second)</t>
  </si>
  <si>
    <t>2 x Intel® Xeon® E5-2667 v3 CPU; 3.2GHz, 20M Cache</t>
  </si>
  <si>
    <t>64+GB 2133MHz RAM</t>
  </si>
  <si>
    <t>5 x 4TB HDD in a RAID 5 Array</t>
  </si>
  <si>
    <t>4+ x 10/100/1000 Ethernet Network Interface Card (Additional NICs may be required)</t>
  </si>
  <si>
    <t>Recommended Operating Systems</t>
  </si>
  <si>
    <t>Windows 7 Professional – 64 Bit (x64)</t>
  </si>
  <si>
    <t>Windows Server 2008 R2 Standard/Enterprise</t>
  </si>
  <si>
    <t>The Eiris Server computer should be a dedicated machine. Other applications, including client applications</t>
  </si>
  <si>
    <t>should be installed on a separate PC.</t>
  </si>
  <si>
    <t>Virtual Machine environments are supported. Virtual Machines should have guaranteed hardware quotas in line</t>
  </si>
  <si>
    <t>with the recommendations above. Eiris will take advantage of 2 vCPUs. Each Network Interface (NIC) in a</t>
  </si>
  <si>
    <t>Multiple Network Interface Cards, Serial Ports, or other hardware may be required or recommended depending on</t>
  </si>
  <si>
    <t>your application. If you have specific inquiries, please contact Elpas Technical Support.</t>
  </si>
  <si>
    <t>Should you have any questions regarding this or any other Elpas product, please contact Elpas Technical Support</t>
  </si>
  <si>
    <t>at 800.223.0020, Option 5.</t>
  </si>
  <si>
    <t>OUT</t>
  </si>
  <si>
    <t>Outdoors</t>
  </si>
  <si>
    <t>RF</t>
  </si>
  <si>
    <t xml:space="preserve">5-ERS04150 </t>
  </si>
  <si>
    <t>3rd Party Nurse Call Integration</t>
  </si>
  <si>
    <t>Equipment Clip (Pack of 5)</t>
  </si>
  <si>
    <t>Belt Clip (Pack of 5)</t>
  </si>
  <si>
    <t>Pendant Clip (Pack of 5)</t>
  </si>
  <si>
    <t>Band Lock Key (Pack of 5) **Required for 5-WTD41102-0 and 5-WTD09012</t>
  </si>
  <si>
    <t xml:space="preserve">Disposable Clincher Wrist ID Band (Pack of 50) </t>
  </si>
  <si>
    <t>WTD Replacement Cover with Button (Pack of 5)</t>
  </si>
  <si>
    <t>WTD Cover without Button (Pack of 5)</t>
  </si>
  <si>
    <t>Reusable medical grade wristband with lock (Pack of 5)</t>
  </si>
  <si>
    <t>Lone Worker Belt Clip (Pack of 5)</t>
  </si>
  <si>
    <t>Lone Worker Pull Cord (Pack of 5)</t>
  </si>
  <si>
    <t>Charm Band, Infant (50 Units)</t>
  </si>
  <si>
    <t>Long Charm Bands (50 Units)</t>
  </si>
  <si>
    <t>5-BTE90004</t>
  </si>
  <si>
    <t>5-STC00433-1</t>
  </si>
  <si>
    <t>Temperature Sensor Tag, RF, 433MHz w/External Probe (requires S/W ext)</t>
  </si>
  <si>
    <t>5-ERS04211</t>
  </si>
  <si>
    <t>Class 2 Eiris Tag License Credit (Passive RFID, access control)</t>
  </si>
  <si>
    <t>5-ERS04212</t>
  </si>
  <si>
    <t>Class 3 Eiris Tag Credit (3rd party active RFID, BLE tags, wireless phones)</t>
  </si>
  <si>
    <t>5-WTD41002-0</t>
  </si>
  <si>
    <t>Elpas Bracelet with Security Band, Solid Face</t>
  </si>
  <si>
    <t>5-WTD09013</t>
  </si>
  <si>
    <t>5-WTD09011</t>
  </si>
  <si>
    <t>5-WTD09014</t>
  </si>
  <si>
    <t>WTD Hospital Band Adapter (Pack of 5)</t>
  </si>
  <si>
    <t>Standard Wristband, No Tamper (Pack of 5)</t>
  </si>
  <si>
    <t>Standard Wristband XL, No Tamper (Pack of 5)</t>
  </si>
  <si>
    <r>
      <t>a. This price list is valid on May 16, 2016 and supersedes all previous price lists.
b. This price list is valid only for certified by Elpas System Integrators.
c. Unless otherwise specified delivery upon approved credit is 60-120 days ARO.
d. Repairs require a RMA number. Troubleshooting fee is $25.00 per tag $50.00 per reader (waived if item defective under warranty)
e. Prices are</t>
    </r>
    <r>
      <rPr>
        <b/>
        <sz val="11"/>
        <rFont val="Tahoma"/>
        <family val="2"/>
      </rPr>
      <t xml:space="preserve"> Ex-Works</t>
    </r>
    <r>
      <rPr>
        <sz val="11"/>
        <rFont val="Tahoma"/>
        <family val="2"/>
      </rPr>
      <t xml:space="preserve">, Kiryat-Gat, Israel  or </t>
    </r>
    <r>
      <rPr>
        <b/>
        <sz val="11"/>
        <rFont val="Tahoma"/>
        <family val="2"/>
      </rPr>
      <t>Ex-Works</t>
    </r>
    <r>
      <rPr>
        <sz val="11"/>
        <rFont val="Tahoma"/>
        <family val="2"/>
      </rPr>
      <t xml:space="preserve"> Toronto, ON, Canada.
f. Taxes/VAT are not included.
g. Prices are subject to change.
h. This proposal is valid for 30 days from the date it was emailed.</t>
    </r>
  </si>
  <si>
    <t>Windows Server 2012 R2 Standard</t>
  </si>
  <si>
    <t>Piso 1</t>
  </si>
  <si>
    <t>Piso 2</t>
  </si>
  <si>
    <t>HOSPITAL CURICO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</si>
</sst>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2" x14ac:knownFonts="1">
    <font>
      <sz val="10"/>
      <name val="Arial"/>
    </font>
    <font>
      <sz val="8"/>
      <name val="Arial"/>
      <family val="2"/>
    </font>
    <font>
      <b/>
      <sz val="10"/>
      <name val="Arial"/>
      <family val="2"/>
    </font>
    <font>
      <b/>
      <sz val="14"/>
      <name val="Arial"/>
      <family val="2"/>
    </font>
    <font>
      <sz val="9"/>
      <name val="Tahoma"/>
      <family val="2"/>
    </font>
    <font>
      <b/>
      <sz val="12"/>
      <name val="Arial"/>
      <family val="2"/>
    </font>
    <font>
      <sz val="10"/>
      <name val="Tahoma"/>
      <family val="2"/>
    </font>
    <font>
      <b/>
      <sz val="12"/>
      <name val="Tahoma"/>
      <family val="2"/>
    </font>
    <font>
      <b/>
      <u/>
      <sz val="11"/>
      <name val="Tahoma"/>
      <family val="2"/>
    </font>
    <font>
      <sz val="11"/>
      <name val="Tahoma"/>
      <family val="2"/>
    </font>
    <font>
      <sz val="11"/>
      <color indexed="8"/>
      <name val="Tahoma"/>
      <family val="2"/>
    </font>
    <font>
      <sz val="9"/>
      <color indexed="8"/>
      <name val="Tahoma"/>
      <family val="2"/>
    </font>
    <font>
      <sz val="10"/>
      <color indexed="8"/>
      <name val="Tahoma"/>
      <family val="2"/>
    </font>
    <font>
      <b/>
      <sz val="11"/>
      <name val="Tahoma"/>
      <family val="2"/>
    </font>
    <font>
      <sz val="10"/>
      <name val="Tahoma"/>
      <family val="2"/>
      <charset val="177"/>
    </font>
    <font>
      <sz val="10"/>
      <name val="Arial"/>
      <family val="2"/>
    </font>
    <font>
      <sz val="10"/>
      <name val="Arial"/>
      <family val="2"/>
    </font>
    <font>
      <sz val="14"/>
      <name val="Arial"/>
      <family val="2"/>
    </font>
    <font>
      <sz val="8"/>
      <color indexed="81"/>
      <name val="Tahoma"/>
      <family val="2"/>
    </font>
    <font>
      <b/>
      <sz val="8"/>
      <color indexed="81"/>
      <name val="Tahoma"/>
      <family val="2"/>
    </font>
    <font>
      <sz val="10"/>
      <color indexed="8"/>
      <name val="Arial"/>
      <family val="2"/>
    </font>
    <font>
      <b/>
      <sz val="11"/>
      <name val="Arial"/>
      <family val="2"/>
    </font>
    <font>
      <sz val="11"/>
      <color rgb="FF9C0006"/>
      <name val="Calibri"/>
      <family val="2"/>
      <scheme val="minor"/>
    </font>
    <font>
      <sz val="10"/>
      <color rgb="FF9C0006"/>
      <name val="Arial"/>
      <family val="2"/>
    </font>
    <font>
      <b/>
      <sz val="9"/>
      <name val="Arial"/>
      <family val="2"/>
    </font>
    <font>
      <sz val="9"/>
      <color indexed="81"/>
      <name val="Tahoma"/>
      <family val="2"/>
    </font>
    <font>
      <b/>
      <sz val="9"/>
      <color indexed="81"/>
      <name val="Tahoma"/>
      <family val="2"/>
    </font>
    <font>
      <b/>
      <sz val="16"/>
      <name val="Arial"/>
      <family val="2"/>
    </font>
    <font>
      <sz val="12"/>
      <name val="Arial"/>
      <family val="2"/>
    </font>
    <font>
      <b/>
      <sz val="12"/>
      <color rgb="FF000000"/>
      <name val="Arial"/>
    </font>
    <font>
      <sz val="9"/>
      <color rgb="FF000000"/>
      <name val="Arial"/>
    </font>
    <font>
      <b/>
      <sz val="9"/>
      <color rgb="FF000000"/>
      <name val="Arial"/>
    </font>
  </fonts>
  <fills count="11">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65"/>
        <bgColor indexed="64"/>
      </patternFill>
    </fill>
    <fill>
      <patternFill patternType="solid">
        <fgColor indexed="23"/>
        <bgColor indexed="64"/>
      </patternFill>
    </fill>
    <fill>
      <patternFill patternType="solid">
        <fgColor rgb="FFFFC7CE"/>
      </patternFill>
    </fill>
    <fill>
      <patternFill patternType="solid">
        <fgColor theme="0"/>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0" fontId="22" fillId="6" borderId="0" applyNumberFormat="0" applyBorder="0" applyAlignment="0" applyProtection="0"/>
    <xf numFmtId="0" fontId="15" fillId="0" borderId="0"/>
    <xf numFmtId="0" fontId="6" fillId="0" borderId="0">
      <alignment horizontal="center"/>
    </xf>
  </cellStyleXfs>
  <cellXfs count="221">
    <xf numFmtId="0" fontId="0" fillId="0" borderId="0" xfId="0"/>
    <xf numFmtId="0" fontId="0" fillId="0" borderId="1" xfId="0" applyBorder="1"/>
    <xf numFmtId="164" fontId="0" fillId="0" borderId="1" xfId="0" applyNumberFormat="1" applyBorder="1"/>
    <xf numFmtId="164" fontId="0" fillId="0" borderId="0" xfId="0" applyNumberFormat="1"/>
    <xf numFmtId="164" fontId="5" fillId="2" borderId="1" xfId="0" applyNumberFormat="1" applyFont="1" applyFill="1" applyBorder="1"/>
    <xf numFmtId="0" fontId="8" fillId="3" borderId="0" xfId="0" applyNumberFormat="1" applyFont="1" applyFill="1" applyBorder="1" applyAlignment="1" applyProtection="1">
      <alignment horizontal="left"/>
    </xf>
    <xf numFmtId="0" fontId="9" fillId="3" borderId="0" xfId="0" applyNumberFormat="1" applyFont="1" applyFill="1" applyBorder="1" applyAlignment="1" applyProtection="1">
      <alignment horizontal="left"/>
    </xf>
    <xf numFmtId="0" fontId="6" fillId="3" borderId="0" xfId="0" applyNumberFormat="1" applyFont="1" applyFill="1" applyBorder="1" applyAlignment="1" applyProtection="1">
      <alignment horizontal="left"/>
    </xf>
    <xf numFmtId="0" fontId="6" fillId="3" borderId="0" xfId="3" applyFont="1" applyFill="1" applyAlignment="1">
      <alignment horizontal="left"/>
    </xf>
    <xf numFmtId="0" fontId="9" fillId="3" borderId="0" xfId="0" applyNumberFormat="1" applyFont="1" applyFill="1" applyBorder="1" applyAlignment="1" applyProtection="1">
      <alignment horizontal="right" vertical="center" wrapText="1"/>
    </xf>
    <xf numFmtId="0" fontId="10" fillId="3" borderId="0" xfId="0" applyNumberFormat="1" applyFont="1" applyFill="1" applyBorder="1" applyAlignment="1" applyProtection="1">
      <alignment horizontal="left" vertical="center" wrapText="1"/>
    </xf>
    <xf numFmtId="0" fontId="11" fillId="3" borderId="0" xfId="0" applyNumberFormat="1" applyFont="1" applyFill="1" applyBorder="1" applyAlignment="1" applyProtection="1">
      <alignment horizontal="left" vertical="center" wrapText="1"/>
    </xf>
    <xf numFmtId="0" fontId="12" fillId="3" borderId="0" xfId="3" applyFont="1" applyFill="1" applyBorder="1" applyAlignment="1">
      <alignment horizontal="left" vertical="center" wrapText="1"/>
    </xf>
    <xf numFmtId="0" fontId="8" fillId="3" borderId="0" xfId="0" applyNumberFormat="1" applyFont="1" applyFill="1" applyBorder="1" applyAlignment="1" applyProtection="1">
      <alignment horizontal="left" readingOrder="1"/>
    </xf>
    <xf numFmtId="0" fontId="9" fillId="3" borderId="0" xfId="0" applyNumberFormat="1" applyFont="1" applyFill="1" applyBorder="1" applyAlignment="1" applyProtection="1">
      <alignment horizontal="left" readingOrder="1"/>
    </xf>
    <xf numFmtId="0" fontId="9" fillId="3" borderId="0" xfId="0" applyNumberFormat="1" applyFont="1" applyFill="1" applyBorder="1" applyAlignment="1" applyProtection="1">
      <alignment horizontal="left" wrapText="1"/>
    </xf>
    <xf numFmtId="0" fontId="4" fillId="3" borderId="0" xfId="0" applyNumberFormat="1" applyFont="1" applyFill="1" applyBorder="1" applyAlignment="1" applyProtection="1">
      <alignment horizontal="left" wrapText="1"/>
    </xf>
    <xf numFmtId="0" fontId="9" fillId="3" borderId="0" xfId="0" applyNumberFormat="1" applyFont="1" applyFill="1" applyBorder="1" applyAlignment="1" applyProtection="1">
      <alignment horizontal="center"/>
    </xf>
    <xf numFmtId="0" fontId="6" fillId="3" borderId="0" xfId="0" applyNumberFormat="1" applyFont="1" applyFill="1" applyBorder="1" applyAlignment="1" applyProtection="1">
      <alignment horizontal="center"/>
    </xf>
    <xf numFmtId="0" fontId="6" fillId="3" borderId="0" xfId="3" applyFont="1" applyFill="1">
      <alignment horizontal="center"/>
    </xf>
    <xf numFmtId="0" fontId="14" fillId="3" borderId="0" xfId="3" applyFont="1" applyFill="1">
      <alignment horizontal="center"/>
    </xf>
    <xf numFmtId="0" fontId="6" fillId="4" borderId="0" xfId="3" applyFill="1">
      <alignment horizontal="center"/>
    </xf>
    <xf numFmtId="0" fontId="0" fillId="0" borderId="0" xfId="0" applyNumberFormat="1" applyAlignment="1">
      <alignment wrapText="1"/>
    </xf>
    <xf numFmtId="164" fontId="5" fillId="5" borderId="1" xfId="0" applyNumberFormat="1" applyFont="1" applyFill="1" applyBorder="1"/>
    <xf numFmtId="0" fontId="16" fillId="4" borderId="1" xfId="0" applyNumberFormat="1"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6" fillId="4" borderId="5" xfId="0" applyFont="1" applyFill="1" applyBorder="1" applyAlignment="1">
      <alignment horizontal="left" vertical="center"/>
    </xf>
    <xf numFmtId="0" fontId="0" fillId="7" borderId="1" xfId="0" applyFill="1" applyBorder="1"/>
    <xf numFmtId="164" fontId="0" fillId="7" borderId="1" xfId="0" applyNumberFormat="1" applyFill="1" applyBorder="1"/>
    <xf numFmtId="0" fontId="0" fillId="8" borderId="1" xfId="0" applyFill="1" applyBorder="1"/>
    <xf numFmtId="164" fontId="0" fillId="8" borderId="1" xfId="0" applyNumberFormat="1" applyFill="1" applyBorder="1"/>
    <xf numFmtId="0" fontId="16" fillId="8" borderId="1" xfId="0" applyNumberFormat="1" applyFont="1" applyFill="1" applyBorder="1" applyAlignment="1" applyProtection="1">
      <alignment horizontal="left" vertical="center" wrapText="1"/>
    </xf>
    <xf numFmtId="0" fontId="16" fillId="8" borderId="1" xfId="0" applyFont="1" applyFill="1" applyBorder="1" applyAlignment="1">
      <alignment horizontal="left" vertical="center"/>
    </xf>
    <xf numFmtId="0" fontId="16" fillId="8" borderId="1" xfId="0" applyFont="1" applyFill="1" applyBorder="1" applyAlignment="1">
      <alignment horizontal="left" vertical="center" wrapText="1"/>
    </xf>
    <xf numFmtId="0" fontId="16" fillId="7" borderId="1" xfId="0" applyNumberFormat="1" applyFont="1" applyFill="1" applyBorder="1" applyAlignment="1" applyProtection="1">
      <alignment horizontal="left" vertical="center" wrapText="1"/>
    </xf>
    <xf numFmtId="0" fontId="16" fillId="0" borderId="1" xfId="0" applyFont="1" applyBorder="1"/>
    <xf numFmtId="0" fontId="16" fillId="0" borderId="1" xfId="0" applyFont="1" applyBorder="1" applyAlignment="1">
      <alignment horizontal="right"/>
    </xf>
    <xf numFmtId="0" fontId="0" fillId="0" borderId="1" xfId="0" applyBorder="1" applyAlignment="1">
      <alignment horizontal="left"/>
    </xf>
    <xf numFmtId="0" fontId="16" fillId="0" borderId="1" xfId="0" applyFont="1" applyFill="1" applyBorder="1" applyAlignment="1">
      <alignment horizontal="right"/>
    </xf>
    <xf numFmtId="0" fontId="20" fillId="8" borderId="1" xfId="0" applyNumberFormat="1" applyFont="1" applyFill="1" applyBorder="1" applyAlignment="1" applyProtection="1">
      <alignment horizontal="left" vertical="center" wrapText="1"/>
    </xf>
    <xf numFmtId="0" fontId="23" fillId="6" borderId="1" xfId="1" applyFont="1" applyBorder="1"/>
    <xf numFmtId="164" fontId="16" fillId="4" borderId="1" xfId="0" applyNumberFormat="1" applyFont="1" applyFill="1" applyBorder="1" applyAlignment="1" applyProtection="1">
      <alignment vertical="center" wrapText="1"/>
    </xf>
    <xf numFmtId="0" fontId="15" fillId="8" borderId="1" xfId="0" applyNumberFormat="1" applyFont="1" applyFill="1" applyBorder="1" applyAlignment="1" applyProtection="1">
      <alignment horizontal="left" vertical="center" wrapText="1"/>
    </xf>
    <xf numFmtId="0" fontId="15" fillId="0" borderId="0" xfId="2"/>
    <xf numFmtId="0" fontId="15" fillId="0" borderId="0" xfId="0" applyFont="1"/>
    <xf numFmtId="0" fontId="0" fillId="0" borderId="0" xfId="0" applyAlignment="1">
      <alignment horizontal="right"/>
    </xf>
    <xf numFmtId="0" fontId="15" fillId="4" borderId="1" xfId="0" applyNumberFormat="1" applyFont="1" applyFill="1" applyBorder="1" applyAlignment="1" applyProtection="1">
      <alignment horizontal="left" vertical="center" wrapText="1"/>
    </xf>
    <xf numFmtId="3" fontId="15" fillId="4" borderId="1" xfId="0" applyNumberFormat="1" applyFont="1" applyFill="1" applyBorder="1" applyAlignment="1" applyProtection="1">
      <alignment horizontal="left" vertical="center" wrapText="1"/>
    </xf>
    <xf numFmtId="0" fontId="15" fillId="0" borderId="0" xfId="0" applyNumberFormat="1" applyFont="1" applyAlignment="1">
      <alignment wrapText="1"/>
    </xf>
    <xf numFmtId="0" fontId="15" fillId="0" borderId="0" xfId="0" applyNumberFormat="1" applyFont="1" applyAlignment="1">
      <alignment horizontal="right" wrapText="1"/>
    </xf>
    <xf numFmtId="0" fontId="0" fillId="0" borderId="1" xfId="0" applyBorder="1" applyProtection="1">
      <protection locked="0"/>
    </xf>
    <xf numFmtId="0" fontId="0" fillId="8" borderId="1" xfId="0" applyFill="1" applyBorder="1" applyProtection="1">
      <protection locked="0"/>
    </xf>
    <xf numFmtId="0" fontId="0" fillId="9" borderId="1" xfId="0" applyFill="1" applyBorder="1" applyProtection="1">
      <protection locked="0"/>
    </xf>
    <xf numFmtId="0" fontId="0" fillId="7" borderId="1" xfId="0" applyFill="1" applyBorder="1" applyProtection="1">
      <protection locked="0"/>
    </xf>
    <xf numFmtId="3" fontId="15" fillId="8" borderId="1" xfId="0" applyNumberFormat="1" applyFont="1" applyFill="1" applyBorder="1" applyAlignment="1" applyProtection="1">
      <alignment horizontal="left" vertical="center" wrapText="1"/>
    </xf>
    <xf numFmtId="0" fontId="15" fillId="0" borderId="1" xfId="0" applyFont="1" applyBorder="1" applyAlignment="1">
      <alignment horizontal="right"/>
    </xf>
    <xf numFmtId="0" fontId="15" fillId="4" borderId="5" xfId="0" applyFont="1" applyFill="1" applyBorder="1" applyAlignment="1">
      <alignment horizontal="left" vertical="center"/>
    </xf>
    <xf numFmtId="0" fontId="15" fillId="4" borderId="1" xfId="0" applyFont="1" applyFill="1" applyBorder="1" applyAlignment="1">
      <alignment horizontal="left" vertical="center" wrapText="1"/>
    </xf>
    <xf numFmtId="0" fontId="15" fillId="8" borderId="1" xfId="0" applyFont="1" applyFill="1" applyBorder="1" applyAlignment="1">
      <alignment horizontal="left" vertical="center" wrapText="1"/>
    </xf>
    <xf numFmtId="0" fontId="15" fillId="8" borderId="1" xfId="0" applyFont="1" applyFill="1" applyBorder="1" applyAlignment="1">
      <alignment horizontal="left" vertical="center"/>
    </xf>
    <xf numFmtId="0" fontId="15" fillId="7" borderId="1" xfId="0" applyFont="1" applyFill="1" applyBorder="1" applyAlignment="1">
      <alignment horizontal="left" vertical="center"/>
    </xf>
    <xf numFmtId="0" fontId="15" fillId="7" borderId="1" xfId="0" applyFont="1" applyFill="1" applyBorder="1" applyAlignment="1">
      <alignment horizontal="left" vertical="center" wrapText="1"/>
    </xf>
    <xf numFmtId="0" fontId="0" fillId="0" borderId="1" xfId="0" applyFill="1" applyBorder="1"/>
    <xf numFmtId="0" fontId="15" fillId="0" borderId="1" xfId="0" applyNumberFormat="1" applyFont="1" applyFill="1" applyBorder="1" applyAlignment="1" applyProtection="1">
      <alignment horizontal="left" vertical="center" wrapText="1"/>
    </xf>
    <xf numFmtId="164" fontId="0" fillId="0" borderId="1" xfId="0" applyNumberFormat="1" applyFill="1" applyBorder="1"/>
    <xf numFmtId="0" fontId="15" fillId="8" borderId="1" xfId="0" applyFont="1" applyFill="1" applyBorder="1"/>
    <xf numFmtId="0" fontId="15" fillId="0" borderId="1" xfId="0" applyFont="1" applyBorder="1"/>
    <xf numFmtId="0" fontId="15" fillId="0" borderId="1" xfId="0" applyFont="1" applyFill="1" applyBorder="1" applyAlignment="1">
      <alignment horizontal="right"/>
    </xf>
    <xf numFmtId="0" fontId="2" fillId="9" borderId="1" xfId="0" applyFont="1" applyFill="1" applyBorder="1" applyAlignment="1">
      <alignment horizontal="left"/>
    </xf>
    <xf numFmtId="0" fontId="2" fillId="9" borderId="1" xfId="0" applyFont="1" applyFill="1" applyBorder="1"/>
    <xf numFmtId="164" fontId="2" fillId="9" borderId="1" xfId="0" applyNumberFormat="1" applyFont="1" applyFill="1" applyBorder="1"/>
    <xf numFmtId="0" fontId="0" fillId="0" borderId="1" xfId="0" applyNumberFormat="1" applyBorder="1" applyAlignment="1">
      <alignment horizontal="right" wrapText="1"/>
    </xf>
    <xf numFmtId="0" fontId="0" fillId="0" borderId="1" xfId="0" applyNumberFormat="1" applyBorder="1" applyAlignment="1">
      <alignment wrapText="1"/>
    </xf>
    <xf numFmtId="3" fontId="15" fillId="0" borderId="1" xfId="0" applyNumberFormat="1" applyFont="1" applyFill="1" applyBorder="1" applyAlignment="1" applyProtection="1">
      <alignment horizontal="left" vertical="center" wrapText="1"/>
    </xf>
    <xf numFmtId="17" fontId="15" fillId="8" borderId="1" xfId="0" applyNumberFormat="1" applyFont="1" applyFill="1" applyBorder="1"/>
    <xf numFmtId="164" fontId="0" fillId="10" borderId="1" xfId="0" applyNumberFormat="1" applyFill="1" applyBorder="1"/>
    <xf numFmtId="0" fontId="0" fillId="0" borderId="1" xfId="0" applyBorder="1"/>
    <xf numFmtId="0" fontId="0" fillId="0" borderId="1" xfId="0" applyBorder="1" applyProtection="1"/>
    <xf numFmtId="1" fontId="0" fillId="0" borderId="1" xfId="0" applyNumberFormat="1" applyBorder="1" applyProtection="1"/>
    <xf numFmtId="0" fontId="0" fillId="0" borderId="1" xfId="0" applyFill="1" applyBorder="1" applyProtection="1">
      <protection locked="0"/>
    </xf>
    <xf numFmtId="0" fontId="15" fillId="0" borderId="0" xfId="2" applyAlignment="1">
      <alignment wrapText="1"/>
    </xf>
    <xf numFmtId="0" fontId="15" fillId="7" borderId="1" xfId="0" applyFont="1" applyFill="1" applyBorder="1"/>
    <xf numFmtId="0" fontId="0" fillId="0" borderId="1" xfId="0" applyBorder="1"/>
    <xf numFmtId="0" fontId="2" fillId="9" borderId="1" xfId="0" applyFont="1" applyFill="1" applyBorder="1" applyAlignment="1">
      <alignment horizontal="left"/>
    </xf>
    <xf numFmtId="0" fontId="0" fillId="0" borderId="0" xfId="0" applyBorder="1"/>
    <xf numFmtId="0" fontId="2" fillId="9" borderId="1" xfId="0" applyFont="1" applyFill="1" applyBorder="1" applyProtection="1"/>
    <xf numFmtId="164" fontId="2" fillId="9" borderId="1" xfId="0" applyNumberFormat="1" applyFont="1" applyFill="1" applyBorder="1" applyProtection="1"/>
    <xf numFmtId="164" fontId="0" fillId="0" borderId="1" xfId="0" applyNumberFormat="1" applyBorder="1" applyProtection="1"/>
    <xf numFmtId="0" fontId="2" fillId="9" borderId="1" xfId="0" applyFont="1" applyFill="1" applyBorder="1" applyAlignment="1" applyProtection="1">
      <alignment horizontal="left"/>
    </xf>
    <xf numFmtId="0" fontId="15" fillId="0" borderId="1" xfId="0" applyFont="1" applyBorder="1" applyProtection="1"/>
    <xf numFmtId="164" fontId="0" fillId="8" borderId="1" xfId="0" applyNumberFormat="1" applyFill="1" applyBorder="1" applyProtection="1"/>
    <xf numFmtId="0" fontId="0" fillId="8" borderId="1" xfId="0" applyFill="1" applyBorder="1" applyProtection="1"/>
    <xf numFmtId="0" fontId="0" fillId="0" borderId="1" xfId="0" applyFill="1" applyBorder="1" applyProtection="1"/>
    <xf numFmtId="164" fontId="0" fillId="0" borderId="1" xfId="0" applyNumberFormat="1" applyFill="1" applyBorder="1" applyProtection="1"/>
    <xf numFmtId="164" fontId="0" fillId="7" borderId="1" xfId="0" applyNumberFormat="1" applyFill="1" applyBorder="1" applyProtection="1"/>
    <xf numFmtId="164" fontId="5" fillId="2" borderId="1" xfId="0" applyNumberFormat="1" applyFont="1" applyFill="1" applyBorder="1" applyProtection="1"/>
    <xf numFmtId="0" fontId="15" fillId="8" borderId="1" xfId="0" applyFont="1" applyFill="1" applyBorder="1" applyAlignment="1" applyProtection="1">
      <alignment horizontal="left" vertical="center" wrapText="1"/>
    </xf>
    <xf numFmtId="164" fontId="5" fillId="10" borderId="1" xfId="0" applyNumberFormat="1" applyFont="1" applyFill="1" applyBorder="1" applyProtection="1"/>
    <xf numFmtId="164" fontId="27" fillId="5" borderId="1" xfId="0" applyNumberFormat="1" applyFont="1" applyFill="1" applyBorder="1" applyProtection="1"/>
    <xf numFmtId="0" fontId="2" fillId="9" borderId="11" xfId="0" applyFont="1" applyFill="1" applyBorder="1"/>
    <xf numFmtId="164" fontId="2" fillId="9" borderId="11" xfId="0" applyNumberFormat="1" applyFont="1" applyFill="1" applyBorder="1"/>
    <xf numFmtId="0" fontId="15" fillId="4" borderId="1" xfId="0" applyFont="1" applyFill="1" applyBorder="1" applyAlignment="1">
      <alignment horizontal="left" vertical="center"/>
    </xf>
    <xf numFmtId="0" fontId="15" fillId="4" borderId="1" xfId="0" applyNumberFormat="1" applyFont="1" applyFill="1" applyBorder="1" applyAlignment="1" applyProtection="1">
      <alignment horizontal="left" vertical="center" wrapText="1"/>
    </xf>
    <xf numFmtId="0" fontId="0" fillId="0" borderId="1" xfId="0" applyBorder="1"/>
    <xf numFmtId="0" fontId="2" fillId="9" borderId="1" xfId="0" applyFont="1" applyFill="1" applyBorder="1" applyAlignment="1">
      <alignment horizontal="left"/>
    </xf>
    <xf numFmtId="0" fontId="15" fillId="4" borderId="1" xfId="0" applyNumberFormat="1" applyFont="1" applyFill="1" applyBorder="1" applyAlignment="1" applyProtection="1">
      <alignment horizontal="left" vertical="center" wrapText="1"/>
    </xf>
    <xf numFmtId="164" fontId="15" fillId="0" borderId="1" xfId="0" applyNumberFormat="1" applyFont="1" applyFill="1" applyBorder="1" applyAlignment="1">
      <alignment horizontal="right" vertical="center"/>
    </xf>
    <xf numFmtId="0" fontId="15" fillId="8" borderId="4" xfId="0" applyNumberFormat="1" applyFont="1" applyFill="1" applyBorder="1" applyAlignment="1" applyProtection="1">
      <alignment horizontal="left" vertical="center" wrapText="1"/>
    </xf>
    <xf numFmtId="0" fontId="15" fillId="0" borderId="1" xfId="0" applyFont="1" applyFill="1" applyBorder="1"/>
    <xf numFmtId="0" fontId="15" fillId="0" borderId="1" xfId="0" applyFont="1" applyFill="1" applyBorder="1" applyAlignment="1" applyProtection="1">
      <alignment horizontal="left" vertical="center" wrapText="1"/>
    </xf>
    <xf numFmtId="0" fontId="0" fillId="0" borderId="1" xfId="0" applyBorder="1"/>
    <xf numFmtId="0" fontId="2" fillId="9" borderId="1" xfId="0" applyFont="1" applyFill="1" applyBorder="1" applyAlignment="1">
      <alignment horizontal="left"/>
    </xf>
    <xf numFmtId="0" fontId="29" fillId="0" borderId="0" xfId="0" applyFont="1"/>
    <xf numFmtId="15" fontId="30" fillId="0" borderId="0" xfId="0" applyNumberFormat="1" applyFont="1"/>
    <xf numFmtId="0" fontId="30" fillId="0" borderId="0" xfId="0" applyFont="1"/>
    <xf numFmtId="0" fontId="31" fillId="0" borderId="0" xfId="0" applyFont="1"/>
    <xf numFmtId="3" fontId="15" fillId="7" borderId="1" xfId="0" applyNumberFormat="1" applyFont="1" applyFill="1" applyBorder="1" applyAlignment="1" applyProtection="1">
      <alignment horizontal="left" vertical="center" wrapText="1"/>
    </xf>
    <xf numFmtId="0" fontId="15" fillId="0" borderId="1" xfId="0" applyFont="1" applyFill="1" applyBorder="1" applyAlignment="1">
      <alignment horizontal="left" vertical="center"/>
    </xf>
    <xf numFmtId="0" fontId="15" fillId="0" borderId="1" xfId="0" applyFont="1" applyFill="1" applyBorder="1" applyAlignment="1">
      <alignment horizontal="left" vertical="center" wrapText="1"/>
    </xf>
    <xf numFmtId="0" fontId="20" fillId="0" borderId="1" xfId="0" applyNumberFormat="1" applyFont="1" applyFill="1" applyBorder="1" applyAlignment="1" applyProtection="1">
      <alignment horizontal="left" vertical="center" wrapText="1"/>
    </xf>
    <xf numFmtId="0" fontId="16" fillId="0" borderId="1" xfId="0" applyNumberFormat="1" applyFont="1" applyFill="1" applyBorder="1" applyAlignment="1" applyProtection="1">
      <alignment horizontal="left" vertical="center" wrapText="1"/>
    </xf>
    <xf numFmtId="0" fontId="15" fillId="4" borderId="4" xfId="0" applyNumberFormat="1" applyFont="1" applyFill="1" applyBorder="1" applyAlignment="1" applyProtection="1">
      <alignment horizontal="left" vertical="center" wrapText="1"/>
    </xf>
    <xf numFmtId="0" fontId="15" fillId="0" borderId="0" xfId="0" applyFont="1" applyAlignment="1">
      <alignment vertical="center"/>
    </xf>
    <xf numFmtId="0" fontId="0" fillId="0" borderId="1" xfId="0" applyBorder="1"/>
    <xf numFmtId="0" fontId="2" fillId="2" borderId="1" xfId="0" applyFont="1" applyFill="1" applyBorder="1" applyAlignment="1">
      <alignment horizontal="left"/>
    </xf>
    <xf numFmtId="0" fontId="3" fillId="0" borderId="0" xfId="0" applyFont="1" applyBorder="1" applyAlignment="1" applyProtection="1">
      <alignment horizontal="center"/>
      <protection locked="0"/>
    </xf>
    <xf numFmtId="0" fontId="0" fillId="0" borderId="1" xfId="0" applyBorder="1" applyAlignment="1">
      <alignment horizontal="center"/>
    </xf>
    <xf numFmtId="0" fontId="0" fillId="0" borderId="1" xfId="0" applyBorder="1"/>
    <xf numFmtId="0" fontId="2" fillId="9" borderId="1" xfId="0" applyFont="1" applyFill="1" applyBorder="1" applyAlignment="1">
      <alignment horizontal="left"/>
    </xf>
    <xf numFmtId="49" fontId="15" fillId="0" borderId="1" xfId="0" applyNumberFormat="1" applyFont="1" applyBorder="1" applyAlignment="1" applyProtection="1">
      <alignment horizontal="left"/>
      <protection locked="0"/>
    </xf>
    <xf numFmtId="49" fontId="0" fillId="0" borderId="1" xfId="0" applyNumberFormat="1" applyBorder="1" applyAlignment="1" applyProtection="1">
      <alignment horizontal="left"/>
      <protection locked="0"/>
    </xf>
    <xf numFmtId="0" fontId="0" fillId="0" borderId="1" xfId="0" applyBorder="1" applyAlignment="1" applyProtection="1">
      <alignment horizontal="left"/>
      <protection locked="0"/>
    </xf>
    <xf numFmtId="0" fontId="15" fillId="0" borderId="1" xfId="0" applyFont="1" applyBorder="1" applyAlignment="1" applyProtection="1">
      <alignment horizontal="left"/>
      <protection locked="0"/>
    </xf>
    <xf numFmtId="0" fontId="0" fillId="0" borderId="2" xfId="0" applyBorder="1" applyAlignment="1" applyProtection="1">
      <alignment horizontal="left"/>
      <protection locked="0"/>
    </xf>
    <xf numFmtId="0" fontId="0" fillId="0" borderId="4" xfId="0" applyBorder="1" applyAlignment="1" applyProtection="1">
      <alignment horizontal="left"/>
      <protection locked="0"/>
    </xf>
    <xf numFmtId="0" fontId="0" fillId="0" borderId="7" xfId="0" applyFill="1" applyBorder="1" applyAlignment="1">
      <alignment horizontal="center"/>
    </xf>
    <xf numFmtId="0" fontId="0" fillId="0" borderId="14" xfId="0" applyFill="1" applyBorder="1" applyAlignment="1">
      <alignment horizontal="center"/>
    </xf>
    <xf numFmtId="0" fontId="0" fillId="0" borderId="13" xfId="0" applyFill="1" applyBorder="1" applyAlignment="1">
      <alignment horizontal="center"/>
    </xf>
    <xf numFmtId="0" fontId="5" fillId="7" borderId="1" xfId="0" applyFont="1" applyFill="1" applyBorder="1" applyAlignment="1">
      <alignment horizontal="right"/>
    </xf>
    <xf numFmtId="0" fontId="2" fillId="7" borderId="1" xfId="0" applyFont="1" applyFill="1" applyBorder="1" applyAlignment="1">
      <alignment horizontal="center"/>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16" fillId="0" borderId="1" xfId="0" applyFont="1" applyBorder="1" applyAlignment="1" applyProtection="1">
      <alignment horizontal="left"/>
      <protection locked="0"/>
    </xf>
    <xf numFmtId="0" fontId="15" fillId="4" borderId="1" xfId="0" applyNumberFormat="1" applyFont="1" applyFill="1" applyBorder="1" applyAlignment="1" applyProtection="1">
      <alignment horizontal="left" vertical="center" wrapText="1"/>
    </xf>
    <xf numFmtId="0" fontId="2" fillId="0" borderId="6" xfId="0" applyFont="1" applyFill="1" applyBorder="1" applyAlignment="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0" borderId="2" xfId="0" applyFont="1" applyFill="1" applyBorder="1" applyAlignment="1">
      <alignment horizontal="right"/>
    </xf>
    <xf numFmtId="0" fontId="2" fillId="0" borderId="3" xfId="0" applyFont="1" applyFill="1" applyBorder="1" applyAlignment="1">
      <alignment horizontal="right"/>
    </xf>
    <xf numFmtId="0" fontId="2" fillId="0" borderId="4" xfId="0" applyFont="1" applyFill="1" applyBorder="1" applyAlignment="1">
      <alignment horizontal="right"/>
    </xf>
    <xf numFmtId="0" fontId="2" fillId="0" borderId="2" xfId="0" applyFont="1" applyBorder="1" applyAlignment="1">
      <alignment horizontal="right"/>
    </xf>
    <xf numFmtId="0" fontId="2" fillId="0" borderId="3" xfId="0" applyFont="1" applyBorder="1" applyAlignment="1">
      <alignment horizontal="right"/>
    </xf>
    <xf numFmtId="0" fontId="2" fillId="0" borderId="4" xfId="0" applyFont="1" applyBorder="1" applyAlignment="1">
      <alignment horizontal="right"/>
    </xf>
    <xf numFmtId="0" fontId="2" fillId="7" borderId="7" xfId="0" applyFont="1" applyFill="1" applyBorder="1" applyAlignment="1">
      <alignment horizontal="center"/>
    </xf>
    <xf numFmtId="0" fontId="2" fillId="7" borderId="8" xfId="0" applyFont="1" applyFill="1" applyBorder="1" applyAlignment="1">
      <alignment horizontal="center"/>
    </xf>
    <xf numFmtId="0" fontId="2" fillId="7" borderId="9" xfId="0" applyFont="1" applyFill="1" applyBorder="1" applyAlignment="1">
      <alignment horizontal="center"/>
    </xf>
    <xf numFmtId="0" fontId="2" fillId="7" borderId="13" xfId="0" applyFont="1" applyFill="1" applyBorder="1" applyAlignment="1">
      <alignment horizontal="center"/>
    </xf>
    <xf numFmtId="0" fontId="2" fillId="7" borderId="12" xfId="0" applyFont="1" applyFill="1" applyBorder="1" applyAlignment="1">
      <alignment horizontal="center"/>
    </xf>
    <xf numFmtId="0" fontId="2" fillId="7" borderId="5" xfId="0" applyFont="1" applyFill="1" applyBorder="1" applyAlignment="1">
      <alignment horizontal="center"/>
    </xf>
    <xf numFmtId="0" fontId="3" fillId="0" borderId="0" xfId="0" applyFont="1" applyAlignment="1">
      <alignment horizontal="center"/>
    </xf>
    <xf numFmtId="0" fontId="17" fillId="0" borderId="1" xfId="0" applyFont="1" applyBorder="1" applyAlignment="1">
      <alignment horizontal="center" vertical="center" textRotation="90"/>
    </xf>
    <xf numFmtId="0" fontId="28" fillId="8" borderId="1" xfId="0" applyFont="1" applyFill="1" applyBorder="1" applyAlignment="1">
      <alignment horizontal="center" vertical="center" textRotation="90"/>
    </xf>
    <xf numFmtId="0" fontId="17" fillId="7" borderId="1" xfId="0" applyFont="1" applyFill="1" applyBorder="1" applyAlignment="1">
      <alignment horizontal="center" vertical="center" textRotation="90"/>
    </xf>
    <xf numFmtId="0" fontId="17" fillId="8" borderId="6" xfId="0" applyFont="1" applyFill="1" applyBorder="1" applyAlignment="1">
      <alignment horizontal="center" vertical="center" textRotation="90"/>
    </xf>
    <xf numFmtId="0" fontId="17" fillId="8" borderId="10" xfId="0" applyFont="1" applyFill="1" applyBorder="1" applyAlignment="1">
      <alignment horizontal="center" vertical="center" textRotation="90"/>
    </xf>
    <xf numFmtId="0" fontId="17" fillId="8" borderId="11" xfId="0" applyFont="1" applyFill="1" applyBorder="1" applyAlignment="1">
      <alignment horizontal="center" vertical="center" textRotation="90"/>
    </xf>
    <xf numFmtId="0" fontId="2" fillId="8" borderId="1" xfId="0" applyFont="1" applyFill="1" applyBorder="1" applyAlignment="1">
      <alignment horizontal="center" vertical="center" textRotation="90"/>
    </xf>
    <xf numFmtId="0" fontId="2" fillId="0" borderId="1" xfId="0" applyFont="1" applyBorder="1" applyAlignment="1">
      <alignment horizontal="right"/>
    </xf>
    <xf numFmtId="0" fontId="24" fillId="0" borderId="1" xfId="0" applyFont="1" applyFill="1" applyBorder="1" applyAlignment="1">
      <alignment horizontal="center" vertical="center" textRotation="90"/>
    </xf>
    <xf numFmtId="0" fontId="17" fillId="8" borderId="1" xfId="0" applyFont="1" applyFill="1" applyBorder="1" applyAlignment="1">
      <alignment horizontal="center" vertical="center" textRotation="90"/>
    </xf>
    <xf numFmtId="0" fontId="17" fillId="0" borderId="1" xfId="0" applyFont="1" applyFill="1" applyBorder="1" applyAlignment="1">
      <alignment horizontal="center" vertical="center" textRotation="90"/>
    </xf>
    <xf numFmtId="49" fontId="3" fillId="0" borderId="12" xfId="0" applyNumberFormat="1" applyFont="1" applyBorder="1" applyAlignment="1">
      <alignment horizontal="center"/>
    </xf>
    <xf numFmtId="0" fontId="17" fillId="8" borderId="6" xfId="0" applyFont="1" applyFill="1" applyBorder="1" applyAlignment="1">
      <alignment horizontal="center" vertical="center" textRotation="90" wrapText="1"/>
    </xf>
    <xf numFmtId="0" fontId="17" fillId="8" borderId="10" xfId="0" applyFont="1" applyFill="1" applyBorder="1" applyAlignment="1">
      <alignment horizontal="center" vertical="center" textRotation="90" wrapText="1"/>
    </xf>
    <xf numFmtId="0" fontId="17" fillId="0" borderId="1" xfId="0" applyFont="1" applyFill="1" applyBorder="1" applyAlignment="1">
      <alignment horizontal="center" vertical="center" textRotation="90" wrapText="1"/>
    </xf>
    <xf numFmtId="0" fontId="17" fillId="0" borderId="6" xfId="0" applyFont="1" applyFill="1" applyBorder="1" applyAlignment="1">
      <alignment horizontal="center" vertical="center" textRotation="90" wrapText="1"/>
    </xf>
    <xf numFmtId="0" fontId="17" fillId="0" borderId="10" xfId="0" applyFont="1" applyFill="1" applyBorder="1" applyAlignment="1">
      <alignment horizontal="center" vertical="center" textRotation="90" wrapText="1"/>
    </xf>
    <xf numFmtId="0" fontId="17" fillId="0" borderId="11" xfId="0" applyFont="1" applyFill="1" applyBorder="1" applyAlignment="1">
      <alignment horizontal="center" vertical="center" textRotation="90" wrapText="1"/>
    </xf>
    <xf numFmtId="0" fontId="2" fillId="8" borderId="6" xfId="0" applyFont="1" applyFill="1" applyBorder="1" applyAlignment="1">
      <alignment horizontal="center" vertical="center"/>
    </xf>
    <xf numFmtId="0" fontId="2" fillId="8" borderId="10" xfId="0" applyFont="1" applyFill="1" applyBorder="1" applyAlignment="1">
      <alignment horizontal="center" vertical="center"/>
    </xf>
    <xf numFmtId="0" fontId="2" fillId="8" borderId="11" xfId="0" applyFont="1" applyFill="1" applyBorder="1" applyAlignment="1">
      <alignment horizontal="center" vertical="center"/>
    </xf>
    <xf numFmtId="0" fontId="21" fillId="0" borderId="6" xfId="0" applyFont="1" applyBorder="1" applyAlignment="1">
      <alignment horizontal="center" vertical="center"/>
    </xf>
    <xf numFmtId="0" fontId="21" fillId="0" borderId="11" xfId="0" applyFont="1" applyBorder="1" applyAlignment="1">
      <alignment horizontal="center" vertical="center"/>
    </xf>
    <xf numFmtId="0" fontId="17" fillId="0" borderId="6" xfId="0" applyFont="1" applyBorder="1" applyAlignment="1">
      <alignment horizontal="center" vertical="center" textRotation="90"/>
    </xf>
    <xf numFmtId="0" fontId="17" fillId="0" borderId="10" xfId="0" applyFont="1" applyBorder="1" applyAlignment="1">
      <alignment horizontal="center" vertical="center" textRotation="90"/>
    </xf>
    <xf numFmtId="0" fontId="17" fillId="0" borderId="11" xfId="0" applyFont="1" applyBorder="1" applyAlignment="1">
      <alignment horizontal="center" vertical="center" textRotation="90"/>
    </xf>
    <xf numFmtId="0" fontId="17" fillId="7" borderId="6" xfId="0" applyFont="1" applyFill="1" applyBorder="1" applyAlignment="1">
      <alignment horizontal="center" vertical="center" textRotation="90"/>
    </xf>
    <xf numFmtId="0" fontId="17" fillId="7" borderId="11" xfId="0" applyFont="1" applyFill="1" applyBorder="1" applyAlignment="1">
      <alignment horizontal="center" vertical="center" textRotation="90"/>
    </xf>
    <xf numFmtId="0" fontId="2" fillId="8" borderId="6" xfId="0" applyFont="1" applyFill="1" applyBorder="1" applyAlignment="1">
      <alignment horizontal="center" vertical="center" textRotation="90"/>
    </xf>
    <xf numFmtId="0" fontId="2" fillId="8" borderId="11" xfId="0" applyFont="1" applyFill="1" applyBorder="1" applyAlignment="1">
      <alignment horizontal="center" vertical="center" textRotation="90"/>
    </xf>
    <xf numFmtId="0" fontId="21" fillId="0" borderId="6" xfId="0" applyFont="1" applyFill="1" applyBorder="1" applyAlignment="1">
      <alignment horizontal="center" vertical="center"/>
    </xf>
    <xf numFmtId="0" fontId="21" fillId="0" borderId="11" xfId="0" applyFont="1" applyFill="1" applyBorder="1" applyAlignment="1">
      <alignment horizontal="center" vertical="center"/>
    </xf>
    <xf numFmtId="0" fontId="5" fillId="8" borderId="6" xfId="0" applyFont="1" applyFill="1" applyBorder="1" applyAlignment="1">
      <alignment horizontal="center" vertical="center" textRotation="90"/>
    </xf>
    <xf numFmtId="0" fontId="5" fillId="8" borderId="11" xfId="0" applyFont="1" applyFill="1" applyBorder="1" applyAlignment="1">
      <alignment horizontal="center" vertical="center" textRotation="90"/>
    </xf>
    <xf numFmtId="0" fontId="7" fillId="3" borderId="0" xfId="0" applyNumberFormat="1" applyFont="1" applyFill="1" applyBorder="1" applyAlignment="1" applyProtection="1">
      <alignment horizontal="center" vertical="center"/>
    </xf>
    <xf numFmtId="0" fontId="2" fillId="2" borderId="1" xfId="0" applyFont="1" applyFill="1" applyBorder="1" applyAlignment="1" applyProtection="1">
      <alignment horizontal="left"/>
    </xf>
    <xf numFmtId="0" fontId="5" fillId="0" borderId="6" xfId="0" applyFont="1" applyFill="1" applyBorder="1" applyAlignment="1" applyProtection="1">
      <alignment horizontal="center" vertical="center" textRotation="90"/>
    </xf>
    <xf numFmtId="0" fontId="5" fillId="0" borderId="10" xfId="0" applyFont="1" applyFill="1" applyBorder="1" applyAlignment="1" applyProtection="1">
      <alignment horizontal="center" vertical="center" textRotation="90"/>
    </xf>
    <xf numFmtId="0" fontId="5" fillId="0" borderId="11" xfId="0" applyFont="1" applyFill="1" applyBorder="1" applyAlignment="1" applyProtection="1">
      <alignment horizontal="center" vertical="center" textRotation="90"/>
    </xf>
    <xf numFmtId="0" fontId="2" fillId="0" borderId="1" xfId="0" applyFont="1" applyFill="1" applyBorder="1" applyAlignment="1" applyProtection="1">
      <alignment horizontal="right"/>
    </xf>
    <xf numFmtId="0" fontId="17" fillId="8" borderId="1" xfId="0" applyFont="1" applyFill="1" applyBorder="1" applyAlignment="1" applyProtection="1">
      <alignment horizontal="center" vertical="center" textRotation="90"/>
    </xf>
    <xf numFmtId="0" fontId="17" fillId="8" borderId="1" xfId="0" applyFont="1" applyFill="1" applyBorder="1" applyAlignment="1" applyProtection="1">
      <alignment horizontal="center" vertical="center" textRotation="90" wrapText="1"/>
    </xf>
    <xf numFmtId="0" fontId="17" fillId="0" borderId="6" xfId="0" applyFont="1" applyFill="1" applyBorder="1" applyAlignment="1" applyProtection="1">
      <alignment horizontal="center" vertical="center" textRotation="90" wrapText="1"/>
    </xf>
    <xf numFmtId="0" fontId="17" fillId="0" borderId="10" xfId="0" applyFont="1" applyFill="1" applyBorder="1" applyAlignment="1" applyProtection="1">
      <alignment horizontal="center" vertical="center" textRotation="90" wrapText="1"/>
    </xf>
    <xf numFmtId="0" fontId="21" fillId="0" borderId="6" xfId="0" applyFont="1" applyBorder="1" applyAlignment="1" applyProtection="1">
      <alignment horizontal="center" vertical="center"/>
    </xf>
    <xf numFmtId="0" fontId="21" fillId="0" borderId="11" xfId="0" applyFont="1" applyBorder="1" applyAlignment="1" applyProtection="1">
      <alignment horizontal="center" vertical="center"/>
    </xf>
    <xf numFmtId="0" fontId="2" fillId="0" borderId="1" xfId="0" applyFont="1" applyBorder="1" applyAlignment="1" applyProtection="1">
      <alignment horizontal="right"/>
    </xf>
    <xf numFmtId="0" fontId="17" fillId="0" borderId="1" xfId="0" applyFont="1" applyBorder="1" applyAlignment="1" applyProtection="1">
      <alignment horizontal="center" vertical="center" textRotation="90"/>
    </xf>
    <xf numFmtId="0" fontId="28" fillId="8" borderId="1" xfId="0" applyFont="1" applyFill="1" applyBorder="1" applyAlignment="1" applyProtection="1">
      <alignment horizontal="center" vertical="center" textRotation="90"/>
    </xf>
    <xf numFmtId="0" fontId="5" fillId="0" borderId="1" xfId="0" applyFont="1" applyFill="1" applyBorder="1" applyAlignment="1" applyProtection="1">
      <alignment horizontal="center" vertical="center" textRotation="90" wrapText="1"/>
    </xf>
    <xf numFmtId="0" fontId="2" fillId="8" borderId="1" xfId="0" applyFont="1" applyFill="1" applyBorder="1" applyAlignment="1" applyProtection="1">
      <alignment horizontal="center" vertical="center"/>
    </xf>
    <xf numFmtId="0" fontId="17" fillId="7" borderId="1" xfId="0" applyFont="1" applyFill="1" applyBorder="1" applyAlignment="1" applyProtection="1">
      <alignment horizontal="center" vertical="center" textRotation="90"/>
    </xf>
    <xf numFmtId="0" fontId="17" fillId="8" borderId="6" xfId="0" applyFont="1" applyFill="1" applyBorder="1" applyAlignment="1" applyProtection="1">
      <alignment horizontal="center" vertical="center" textRotation="90"/>
    </xf>
    <xf numFmtId="0" fontId="17" fillId="8" borderId="10" xfId="0" applyFont="1" applyFill="1" applyBorder="1" applyAlignment="1" applyProtection="1">
      <alignment horizontal="center" vertical="center" textRotation="90"/>
    </xf>
    <xf numFmtId="0" fontId="17" fillId="8" borderId="11" xfId="0" applyFont="1" applyFill="1" applyBorder="1" applyAlignment="1" applyProtection="1">
      <alignment horizontal="center" vertical="center" textRotation="90"/>
    </xf>
    <xf numFmtId="0" fontId="2" fillId="8" borderId="1" xfId="0" applyFont="1" applyFill="1" applyBorder="1" applyAlignment="1" applyProtection="1">
      <alignment horizontal="center" vertical="center" textRotation="90"/>
    </xf>
    <xf numFmtId="0" fontId="5" fillId="7" borderId="1" xfId="0" applyFont="1" applyFill="1" applyBorder="1" applyAlignment="1" applyProtection="1">
      <alignment horizontal="right"/>
    </xf>
    <xf numFmtId="0" fontId="0" fillId="0" borderId="1" xfId="0" applyBorder="1" applyAlignment="1" applyProtection="1">
      <alignment horizontal="center"/>
    </xf>
    <xf numFmtId="0" fontId="24" fillId="0" borderId="1" xfId="0" applyFont="1" applyFill="1" applyBorder="1" applyAlignment="1" applyProtection="1">
      <alignment horizontal="center" vertical="center" textRotation="90"/>
    </xf>
    <xf numFmtId="0" fontId="17" fillId="0" borderId="1" xfId="0" applyFont="1" applyFill="1" applyBorder="1" applyAlignment="1" applyProtection="1">
      <alignment horizontal="center" vertical="center" textRotation="90"/>
    </xf>
  </cellXfs>
  <cellStyles count="4">
    <cellStyle name="Incorrecto" xfId="1" builtinId="27"/>
    <cellStyle name="Normal" xfId="0" builtinId="0"/>
    <cellStyle name="Normal 2" xfId="2" xr:uid="{00000000-0005-0000-0000-000002000000}"/>
    <cellStyle name="Normal_Endnotes &amp; Terms" xfId="3" xr:uid="{00000000-0005-0000-0000-000003000000}"/>
  </cellStyles>
  <dxfs count="119">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0"/>
  <sheetViews>
    <sheetView topLeftCell="C1" zoomScale="120" zoomScaleNormal="120" workbookViewId="0">
      <selection activeCell="H6" sqref="H6"/>
    </sheetView>
  </sheetViews>
  <sheetFormatPr baseColWidth="10" defaultColWidth="9.140625" defaultRowHeight="12.75" x14ac:dyDescent="0.2"/>
  <cols>
    <col min="1" max="1" width="5.42578125" customWidth="1"/>
    <col min="2" max="2" width="16.140625" customWidth="1"/>
    <col min="3" max="3" width="68.140625" customWidth="1"/>
    <col min="4" max="4" width="12.5703125" style="3" customWidth="1"/>
    <col min="5" max="5" width="11.140625" customWidth="1"/>
    <col min="6" max="6" width="21.42578125" style="3" customWidth="1"/>
    <col min="8" max="8" width="17.42578125" bestFit="1" customWidth="1"/>
    <col min="9" max="9" width="9.140625" bestFit="1" customWidth="1"/>
  </cols>
  <sheetData>
    <row r="1" spans="1:9" ht="18" x14ac:dyDescent="0.25">
      <c r="A1" s="125" t="s">
        <v>287</v>
      </c>
      <c r="B1" s="125"/>
      <c r="C1" s="125"/>
      <c r="D1" s="125"/>
      <c r="E1" s="125"/>
      <c r="F1" s="125"/>
    </row>
    <row r="2" spans="1:9" x14ac:dyDescent="0.2">
      <c r="A2" s="124" t="s">
        <v>2</v>
      </c>
      <c r="B2" s="124"/>
      <c r="C2" s="124"/>
      <c r="D2" s="124"/>
      <c r="E2" s="124"/>
      <c r="F2" s="124"/>
    </row>
    <row r="3" spans="1:9" x14ac:dyDescent="0.2">
      <c r="A3" s="135"/>
      <c r="B3" s="99" t="s">
        <v>117</v>
      </c>
      <c r="C3" s="99" t="s">
        <v>0</v>
      </c>
      <c r="D3" s="100" t="s">
        <v>1</v>
      </c>
      <c r="E3" s="99" t="s">
        <v>119</v>
      </c>
      <c r="F3" s="100" t="s">
        <v>3</v>
      </c>
    </row>
    <row r="4" spans="1:9" x14ac:dyDescent="0.2">
      <c r="A4" s="136"/>
      <c r="B4" s="1" t="s">
        <v>133</v>
      </c>
      <c r="C4" s="66" t="s">
        <v>192</v>
      </c>
      <c r="D4" s="2">
        <v>1459</v>
      </c>
      <c r="E4" s="77">
        <v>1</v>
      </c>
      <c r="F4" s="2">
        <f>E4*D4</f>
        <v>1459</v>
      </c>
    </row>
    <row r="5" spans="1:9" x14ac:dyDescent="0.2">
      <c r="A5" s="136"/>
      <c r="B5" s="1" t="s">
        <v>14</v>
      </c>
      <c r="C5" s="1" t="s">
        <v>15</v>
      </c>
      <c r="D5" s="2">
        <v>619</v>
      </c>
      <c r="E5" s="78">
        <f>IF((ROUNDUP((C49-10)/16,0))&lt;0,0,(ROUNDUP((SUM(E25:E39)-10)/16,0)))</f>
        <v>0</v>
      </c>
      <c r="F5" s="2">
        <f>E5*D5</f>
        <v>0</v>
      </c>
    </row>
    <row r="6" spans="1:9" x14ac:dyDescent="0.2">
      <c r="A6" s="136"/>
      <c r="B6" s="1" t="s">
        <v>4</v>
      </c>
      <c r="C6" s="66" t="s">
        <v>191</v>
      </c>
      <c r="D6" s="2">
        <v>458</v>
      </c>
      <c r="E6" s="50">
        <v>0</v>
      </c>
      <c r="F6" s="2">
        <f>E6*D6</f>
        <v>0</v>
      </c>
      <c r="I6" s="3"/>
    </row>
    <row r="7" spans="1:9" x14ac:dyDescent="0.2">
      <c r="A7" s="136"/>
      <c r="B7" s="123" t="s">
        <v>271</v>
      </c>
      <c r="C7" s="66" t="s">
        <v>272</v>
      </c>
      <c r="D7" s="2">
        <v>5</v>
      </c>
      <c r="E7" s="50">
        <v>0</v>
      </c>
      <c r="F7" s="2">
        <f t="shared" ref="F7:F8" si="0">E7*D7</f>
        <v>0</v>
      </c>
      <c r="I7" s="3"/>
    </row>
    <row r="8" spans="1:9" x14ac:dyDescent="0.2">
      <c r="A8" s="137"/>
      <c r="B8" s="123" t="s">
        <v>273</v>
      </c>
      <c r="C8" s="66" t="s">
        <v>274</v>
      </c>
      <c r="D8" s="2">
        <v>30</v>
      </c>
      <c r="E8" s="50">
        <v>0</v>
      </c>
      <c r="F8" s="2">
        <f t="shared" si="0"/>
        <v>0</v>
      </c>
      <c r="I8" s="3"/>
    </row>
    <row r="9" spans="1:9" x14ac:dyDescent="0.2">
      <c r="A9" s="140" t="s">
        <v>164</v>
      </c>
      <c r="B9" s="141"/>
      <c r="C9" s="141"/>
      <c r="D9" s="141"/>
      <c r="E9" s="141"/>
      <c r="F9" s="142"/>
    </row>
    <row r="10" spans="1:9" x14ac:dyDescent="0.2">
      <c r="A10" s="145"/>
      <c r="B10" s="68" t="s">
        <v>117</v>
      </c>
      <c r="C10" s="68" t="s">
        <v>0</v>
      </c>
      <c r="D10" s="68" t="s">
        <v>1</v>
      </c>
      <c r="E10" s="68" t="s">
        <v>119</v>
      </c>
      <c r="F10" s="68" t="s">
        <v>3</v>
      </c>
    </row>
    <row r="11" spans="1:9" x14ac:dyDescent="0.2">
      <c r="A11" s="146"/>
      <c r="B11" s="1" t="s">
        <v>19</v>
      </c>
      <c r="C11" s="1" t="s">
        <v>20</v>
      </c>
      <c r="D11" s="2">
        <v>2667</v>
      </c>
      <c r="E11" s="50">
        <v>0</v>
      </c>
      <c r="F11" s="2">
        <f t="shared" ref="F11:F18" si="1">E11*D11</f>
        <v>0</v>
      </c>
    </row>
    <row r="12" spans="1:9" x14ac:dyDescent="0.2">
      <c r="A12" s="146"/>
      <c r="B12" s="1" t="s">
        <v>7</v>
      </c>
      <c r="C12" s="1" t="s">
        <v>8</v>
      </c>
      <c r="D12" s="2">
        <v>920</v>
      </c>
      <c r="E12" s="50">
        <v>0</v>
      </c>
      <c r="F12" s="2">
        <f t="shared" si="1"/>
        <v>0</v>
      </c>
    </row>
    <row r="13" spans="1:9" x14ac:dyDescent="0.2">
      <c r="A13" s="146"/>
      <c r="B13" s="1" t="s">
        <v>56</v>
      </c>
      <c r="C13" s="1" t="s">
        <v>57</v>
      </c>
      <c r="D13" s="2">
        <v>920</v>
      </c>
      <c r="E13" s="50">
        <v>0</v>
      </c>
      <c r="F13" s="2">
        <f t="shared" si="1"/>
        <v>0</v>
      </c>
    </row>
    <row r="14" spans="1:9" x14ac:dyDescent="0.2">
      <c r="A14" s="146"/>
      <c r="B14" s="1" t="s">
        <v>58</v>
      </c>
      <c r="C14" s="1" t="s">
        <v>59</v>
      </c>
      <c r="D14" s="2">
        <v>1700</v>
      </c>
      <c r="E14" s="50">
        <v>0</v>
      </c>
      <c r="F14" s="2">
        <f t="shared" si="1"/>
        <v>0</v>
      </c>
    </row>
    <row r="15" spans="1:9" x14ac:dyDescent="0.2">
      <c r="A15" s="146"/>
      <c r="B15" s="1" t="s">
        <v>101</v>
      </c>
      <c r="C15" s="66" t="s">
        <v>155</v>
      </c>
      <c r="D15" s="2">
        <v>1000</v>
      </c>
      <c r="E15" s="50">
        <v>0</v>
      </c>
      <c r="F15" s="2">
        <f t="shared" si="1"/>
        <v>0</v>
      </c>
    </row>
    <row r="16" spans="1:9" x14ac:dyDescent="0.2">
      <c r="A16" s="146"/>
      <c r="B16" s="76" t="s">
        <v>153</v>
      </c>
      <c r="C16" s="66" t="s">
        <v>154</v>
      </c>
      <c r="D16" s="2">
        <v>1000</v>
      </c>
      <c r="E16" s="50">
        <v>0</v>
      </c>
      <c r="F16" s="2">
        <f t="shared" si="1"/>
        <v>0</v>
      </c>
    </row>
    <row r="17" spans="1:6" x14ac:dyDescent="0.2">
      <c r="A17" s="146"/>
      <c r="B17" s="66" t="s">
        <v>254</v>
      </c>
      <c r="C17" s="66" t="s">
        <v>255</v>
      </c>
      <c r="D17" s="2">
        <v>1800</v>
      </c>
      <c r="E17" s="50">
        <v>0</v>
      </c>
      <c r="F17" s="2">
        <f t="shared" si="1"/>
        <v>0</v>
      </c>
    </row>
    <row r="18" spans="1:6" x14ac:dyDescent="0.2">
      <c r="A18" s="147"/>
      <c r="B18" s="1" t="s">
        <v>148</v>
      </c>
      <c r="C18" s="1" t="s">
        <v>149</v>
      </c>
      <c r="D18" s="2">
        <v>1459</v>
      </c>
      <c r="E18" s="50">
        <v>0</v>
      </c>
      <c r="F18" s="2">
        <f t="shared" si="1"/>
        <v>0</v>
      </c>
    </row>
    <row r="19" spans="1:6" x14ac:dyDescent="0.2">
      <c r="A19" s="148" t="s">
        <v>150</v>
      </c>
      <c r="B19" s="149"/>
      <c r="C19" s="149"/>
      <c r="D19" s="149"/>
      <c r="E19" s="150"/>
      <c r="F19" s="75">
        <f>SUM(F4:F6)+SUM(F11:F18)</f>
        <v>1459</v>
      </c>
    </row>
    <row r="20" spans="1:6" x14ac:dyDescent="0.2">
      <c r="A20" s="124" t="s">
        <v>11</v>
      </c>
      <c r="B20" s="124"/>
      <c r="C20" s="124"/>
      <c r="D20" s="124"/>
      <c r="E20" s="124"/>
      <c r="F20" s="124"/>
    </row>
    <row r="21" spans="1:6" x14ac:dyDescent="0.2">
      <c r="A21" s="139"/>
      <c r="B21" s="69" t="s">
        <v>21</v>
      </c>
      <c r="C21" s="128" t="s">
        <v>0</v>
      </c>
      <c r="D21" s="128"/>
      <c r="E21" s="69" t="s">
        <v>131</v>
      </c>
      <c r="F21" s="70" t="s">
        <v>3</v>
      </c>
    </row>
    <row r="22" spans="1:6" x14ac:dyDescent="0.2">
      <c r="A22" s="139"/>
      <c r="B22" s="66" t="s">
        <v>151</v>
      </c>
      <c r="C22" s="144" t="s">
        <v>97</v>
      </c>
      <c r="D22" s="144"/>
      <c r="E22" s="1">
        <f>'Transmitter Totals'!C40</f>
        <v>400</v>
      </c>
      <c r="F22" s="41">
        <f>'Transmitter Totals'!F37</f>
        <v>34120</v>
      </c>
    </row>
    <row r="23" spans="1:6" x14ac:dyDescent="0.2">
      <c r="A23" s="124" t="s">
        <v>152</v>
      </c>
      <c r="B23" s="124"/>
      <c r="C23" s="124"/>
      <c r="D23" s="124"/>
      <c r="E23" s="124"/>
      <c r="F23" s="124"/>
    </row>
    <row r="24" spans="1:6" x14ac:dyDescent="0.2">
      <c r="A24" s="126"/>
      <c r="B24" s="69" t="s">
        <v>21</v>
      </c>
      <c r="C24" s="128" t="s">
        <v>0</v>
      </c>
      <c r="D24" s="128"/>
      <c r="E24" s="69" t="s">
        <v>132</v>
      </c>
      <c r="F24" s="70" t="s">
        <v>3</v>
      </c>
    </row>
    <row r="25" spans="1:6" x14ac:dyDescent="0.2">
      <c r="A25" s="127"/>
      <c r="B25" s="37">
        <v>1</v>
      </c>
      <c r="C25" s="129" t="s">
        <v>285</v>
      </c>
      <c r="D25" s="130"/>
      <c r="E25" s="1">
        <f>'1'!C29</f>
        <v>0</v>
      </c>
      <c r="F25" s="2">
        <f>'1'!F26</f>
        <v>0</v>
      </c>
    </row>
    <row r="26" spans="1:6" x14ac:dyDescent="0.2">
      <c r="A26" s="127"/>
      <c r="B26" s="37">
        <v>2</v>
      </c>
      <c r="C26" s="131" t="s">
        <v>286</v>
      </c>
      <c r="D26" s="131"/>
      <c r="E26" s="1">
        <f>'2'!C29</f>
        <v>0</v>
      </c>
      <c r="F26" s="2">
        <f>'2'!F26</f>
        <v>0</v>
      </c>
    </row>
    <row r="27" spans="1:6" x14ac:dyDescent="0.2">
      <c r="A27" s="127"/>
      <c r="B27" s="37">
        <v>3</v>
      </c>
      <c r="C27" s="131" t="s">
        <v>120</v>
      </c>
      <c r="D27" s="131"/>
      <c r="E27" s="1">
        <f>'3'!C29</f>
        <v>0</v>
      </c>
      <c r="F27" s="2">
        <f>'3'!F26</f>
        <v>0</v>
      </c>
    </row>
    <row r="28" spans="1:6" x14ac:dyDescent="0.2">
      <c r="A28" s="127"/>
      <c r="B28" s="37">
        <v>4</v>
      </c>
      <c r="C28" s="131" t="s">
        <v>121</v>
      </c>
      <c r="D28" s="131"/>
      <c r="E28" s="1">
        <f>'4'!C29</f>
        <v>0</v>
      </c>
      <c r="F28" s="2">
        <f>'4'!F26</f>
        <v>0</v>
      </c>
    </row>
    <row r="29" spans="1:6" x14ac:dyDescent="0.2">
      <c r="A29" s="127"/>
      <c r="B29" s="37">
        <v>5</v>
      </c>
      <c r="C29" s="131" t="s">
        <v>122</v>
      </c>
      <c r="D29" s="131"/>
      <c r="E29" s="1">
        <f>'5'!C29</f>
        <v>0</v>
      </c>
      <c r="F29" s="2">
        <f>'5'!F26</f>
        <v>0</v>
      </c>
    </row>
    <row r="30" spans="1:6" x14ac:dyDescent="0.2">
      <c r="A30" s="127"/>
      <c r="B30" s="37">
        <v>6</v>
      </c>
      <c r="C30" s="131" t="s">
        <v>123</v>
      </c>
      <c r="D30" s="131"/>
      <c r="E30" s="1">
        <f>'6'!C29</f>
        <v>0</v>
      </c>
      <c r="F30" s="2">
        <f>'6'!F26</f>
        <v>0</v>
      </c>
    </row>
    <row r="31" spans="1:6" x14ac:dyDescent="0.2">
      <c r="A31" s="127"/>
      <c r="B31" s="37">
        <v>7</v>
      </c>
      <c r="C31" s="131" t="s">
        <v>124</v>
      </c>
      <c r="D31" s="131"/>
      <c r="E31" s="1">
        <f>'7'!C29</f>
        <v>0</v>
      </c>
      <c r="F31" s="2">
        <f>'7'!F26</f>
        <v>0</v>
      </c>
    </row>
    <row r="32" spans="1:6" x14ac:dyDescent="0.2">
      <c r="A32" s="127"/>
      <c r="B32" s="37">
        <v>8</v>
      </c>
      <c r="C32" s="131" t="s">
        <v>125</v>
      </c>
      <c r="D32" s="131"/>
      <c r="E32" s="1">
        <f>'8'!C29</f>
        <v>0</v>
      </c>
      <c r="F32" s="2">
        <f>'8'!F26</f>
        <v>0</v>
      </c>
    </row>
    <row r="33" spans="1:6" x14ac:dyDescent="0.2">
      <c r="A33" s="127"/>
      <c r="B33" s="37">
        <v>9</v>
      </c>
      <c r="C33" s="132" t="s">
        <v>126</v>
      </c>
      <c r="D33" s="131"/>
      <c r="E33" s="1">
        <f>'9'!C29</f>
        <v>0</v>
      </c>
      <c r="F33" s="2">
        <f>'9'!F26</f>
        <v>0</v>
      </c>
    </row>
    <row r="34" spans="1:6" x14ac:dyDescent="0.2">
      <c r="A34" s="127"/>
      <c r="B34" s="37">
        <v>10</v>
      </c>
      <c r="C34" s="131" t="s">
        <v>127</v>
      </c>
      <c r="D34" s="131"/>
      <c r="E34" s="1">
        <f>'10'!C29</f>
        <v>0</v>
      </c>
      <c r="F34" s="2">
        <f>'10'!F26</f>
        <v>0</v>
      </c>
    </row>
    <row r="35" spans="1:6" x14ac:dyDescent="0.2">
      <c r="A35" s="127"/>
      <c r="B35" s="37">
        <v>11</v>
      </c>
      <c r="C35" s="131" t="s">
        <v>128</v>
      </c>
      <c r="D35" s="131"/>
      <c r="E35" s="1">
        <f>'11'!C29</f>
        <v>0</v>
      </c>
      <c r="F35" s="2">
        <f>'11'!F26</f>
        <v>0</v>
      </c>
    </row>
    <row r="36" spans="1:6" x14ac:dyDescent="0.2">
      <c r="A36" s="127"/>
      <c r="B36" s="37">
        <v>12</v>
      </c>
      <c r="C36" s="131" t="s">
        <v>129</v>
      </c>
      <c r="D36" s="131"/>
      <c r="E36" s="1">
        <f>'12'!C29</f>
        <v>0</v>
      </c>
      <c r="F36" s="2">
        <f>'12'!F26</f>
        <v>0</v>
      </c>
    </row>
    <row r="37" spans="1:6" x14ac:dyDescent="0.2">
      <c r="A37" s="127"/>
      <c r="B37" s="37">
        <v>13</v>
      </c>
      <c r="C37" s="131" t="s">
        <v>130</v>
      </c>
      <c r="D37" s="131"/>
      <c r="E37" s="1">
        <f>'13'!C29</f>
        <v>0</v>
      </c>
      <c r="F37" s="2">
        <f>'13'!F26</f>
        <v>0</v>
      </c>
    </row>
    <row r="38" spans="1:6" x14ac:dyDescent="0.2">
      <c r="A38" s="127"/>
      <c r="B38" s="37" t="s">
        <v>251</v>
      </c>
      <c r="C38" s="133" t="s">
        <v>252</v>
      </c>
      <c r="D38" s="134"/>
      <c r="E38" s="110">
        <f>OUT!C17</f>
        <v>0</v>
      </c>
      <c r="F38" s="2">
        <f>OUT!F14</f>
        <v>0</v>
      </c>
    </row>
    <row r="39" spans="1:6" x14ac:dyDescent="0.2">
      <c r="A39" s="127"/>
      <c r="B39" s="35" t="s">
        <v>61</v>
      </c>
      <c r="C39" s="143" t="s">
        <v>69</v>
      </c>
      <c r="D39" s="143"/>
      <c r="E39" s="1">
        <f>MISC!C43</f>
        <v>0</v>
      </c>
      <c r="F39" s="2">
        <f>MISC!F40</f>
        <v>0</v>
      </c>
    </row>
    <row r="40" spans="1:6" x14ac:dyDescent="0.2">
      <c r="A40" s="151" t="s">
        <v>156</v>
      </c>
      <c r="B40" s="152"/>
      <c r="C40" s="152"/>
      <c r="D40" s="152"/>
      <c r="E40" s="153"/>
      <c r="F40" s="75">
        <f>SUM(F25:F39)+F22</f>
        <v>34120</v>
      </c>
    </row>
    <row r="41" spans="1:6" x14ac:dyDescent="0.2">
      <c r="A41" s="154"/>
      <c r="B41" s="155"/>
      <c r="C41" s="155"/>
      <c r="D41" s="155"/>
      <c r="E41" s="155"/>
      <c r="F41" s="156"/>
    </row>
    <row r="42" spans="1:6" x14ac:dyDescent="0.2">
      <c r="A42" s="157"/>
      <c r="B42" s="158"/>
      <c r="C42" s="158"/>
      <c r="D42" s="158"/>
      <c r="E42" s="158"/>
      <c r="F42" s="159"/>
    </row>
    <row r="43" spans="1:6" ht="15.75" x14ac:dyDescent="0.25">
      <c r="A43" s="138" t="s">
        <v>96</v>
      </c>
      <c r="B43" s="138"/>
      <c r="C43" s="138"/>
      <c r="D43" s="138"/>
      <c r="E43" s="138"/>
      <c r="F43" s="23">
        <f>SUM(F4:F18)+SUM(F22:F39)</f>
        <v>35579</v>
      </c>
    </row>
    <row r="45" spans="1:6" x14ac:dyDescent="0.2">
      <c r="B45" s="45" t="s">
        <v>99</v>
      </c>
      <c r="C45" s="44" t="s">
        <v>193</v>
      </c>
    </row>
    <row r="46" spans="1:6" x14ac:dyDescent="0.2">
      <c r="C46" s="44" t="s">
        <v>157</v>
      </c>
    </row>
    <row r="47" spans="1:6" x14ac:dyDescent="0.2">
      <c r="C47" s="44" t="s">
        <v>98</v>
      </c>
    </row>
    <row r="49" spans="1:3" x14ac:dyDescent="0.2">
      <c r="B49" s="36" t="s">
        <v>52</v>
      </c>
      <c r="C49" s="37">
        <f>SUM(E25:E39)</f>
        <v>0</v>
      </c>
    </row>
    <row r="50" spans="1:3" x14ac:dyDescent="0.2">
      <c r="B50" s="36" t="s">
        <v>53</v>
      </c>
      <c r="C50" s="37">
        <f>'1'!C30+'2'!C30+'3'!C30+'4'!C30+'5'!C30+'6'!C30+'7'!C30+'8'!C30+'9'!C30+'10'!C30+'11'!C30+'12'!C30+'13'!C30+MISC!C44+OUT!C17</f>
        <v>0</v>
      </c>
    </row>
    <row r="51" spans="1:3" x14ac:dyDescent="0.2">
      <c r="B51" s="36" t="s">
        <v>54</v>
      </c>
      <c r="C51" s="35" t="str">
        <f>IF(AND('1'!C31="OK",'2'!C31="OK",'3'!C31="OK",'4'!C31="OK",'5'!C31="OK",'6'!C31="OK",'7'!C31="OK",'8'!C31="OK",'9'!C31="OK",'10'!C31="OK",'11'!C31="OK",'12'!C31="OK",'13'!C31="OK",MISC!C45="OK"),"OK", "More Power")</f>
        <v>OK</v>
      </c>
    </row>
    <row r="52" spans="1:3" x14ac:dyDescent="0.2">
      <c r="A52" s="22"/>
      <c r="B52" s="38" t="s">
        <v>55</v>
      </c>
      <c r="C52" s="40" t="str">
        <f>IF(AND('1'!C32="OK",'2'!C32="OK",'3'!C32="OK",'4'!C32="OK",'5'!C32="OK",'6'!C32="OK",'7'!C32="OK",'8'!C32="OK",'9'!C32="OK",'10'!C32="OK",'11'!C32="OK",'12'!C32="OK",'13'!C32="OK",MISC!C46="OK"),"OK","Too Many")</f>
        <v>OK</v>
      </c>
    </row>
    <row r="53" spans="1:3" x14ac:dyDescent="0.2">
      <c r="A53" s="22"/>
      <c r="B53" s="67" t="s">
        <v>136</v>
      </c>
      <c r="C53" s="40" t="str">
        <f>IF(AND('1'!C33="OK",'2'!C33="OK",'3'!C33="OK",'4'!C33="OK",'5'!C33="OK",'6'!C33="OK",'7'!C33="OK",'8'!C33="OK",'9'!C33="OK",'10'!C33="OK",'11'!C33="OK",'12'!C33="OK",'13'!C33="OK",MISC!C47="OK"),"OK","Too Many")</f>
        <v>OK</v>
      </c>
    </row>
    <row r="54" spans="1:3" ht="12.75" customHeight="1" x14ac:dyDescent="0.2">
      <c r="A54" s="22"/>
    </row>
    <row r="55" spans="1:3" ht="25.5" x14ac:dyDescent="0.2">
      <c r="A55" s="22"/>
      <c r="B55" s="49" t="s">
        <v>99</v>
      </c>
      <c r="C55" s="48" t="s">
        <v>104</v>
      </c>
    </row>
    <row r="56" spans="1:3" x14ac:dyDescent="0.2">
      <c r="A56" s="22"/>
      <c r="B56" s="22"/>
      <c r="C56" s="22"/>
    </row>
    <row r="57" spans="1:3" x14ac:dyDescent="0.2">
      <c r="A57" s="22"/>
      <c r="B57" s="22"/>
      <c r="C57" s="22"/>
    </row>
    <row r="58" spans="1:3" x14ac:dyDescent="0.2">
      <c r="A58" s="22"/>
      <c r="B58" s="22"/>
      <c r="C58" s="22"/>
    </row>
    <row r="59" spans="1:3" x14ac:dyDescent="0.2">
      <c r="A59" s="22"/>
      <c r="B59" s="22"/>
      <c r="C59" s="22"/>
    </row>
    <row r="60" spans="1:3" x14ac:dyDescent="0.2">
      <c r="C60" s="22"/>
    </row>
  </sheetData>
  <sheetProtection password="C4C4" sheet="1" objects="1" scenarios="1"/>
  <mergeCells count="31">
    <mergeCell ref="A43:E43"/>
    <mergeCell ref="A21:A22"/>
    <mergeCell ref="A9:F9"/>
    <mergeCell ref="A23:F23"/>
    <mergeCell ref="C34:D34"/>
    <mergeCell ref="C35:D35"/>
    <mergeCell ref="C36:D36"/>
    <mergeCell ref="C37:D37"/>
    <mergeCell ref="C39:D39"/>
    <mergeCell ref="C21:D21"/>
    <mergeCell ref="C22:D22"/>
    <mergeCell ref="A10:A18"/>
    <mergeCell ref="A19:E19"/>
    <mergeCell ref="A40:E40"/>
    <mergeCell ref="A41:F42"/>
    <mergeCell ref="A2:F2"/>
    <mergeCell ref="A1:F1"/>
    <mergeCell ref="A24:A39"/>
    <mergeCell ref="A20:F20"/>
    <mergeCell ref="C24:D24"/>
    <mergeCell ref="C25:D25"/>
    <mergeCell ref="C26:D26"/>
    <mergeCell ref="C27:D27"/>
    <mergeCell ref="C28:D28"/>
    <mergeCell ref="C29:D29"/>
    <mergeCell ref="C30:D30"/>
    <mergeCell ref="C31:D31"/>
    <mergeCell ref="C32:D32"/>
    <mergeCell ref="C33:D33"/>
    <mergeCell ref="C38:D38"/>
    <mergeCell ref="A3:A8"/>
  </mergeCells>
  <phoneticPr fontId="1" type="noConversion"/>
  <conditionalFormatting sqref="C51">
    <cfRule type="cellIs" dxfId="118" priority="7" stopIfTrue="1" operator="equal">
      <formula>"OK"</formula>
    </cfRule>
    <cfRule type="cellIs" dxfId="117" priority="8" stopIfTrue="1" operator="equal">
      <formula>"More Power"</formula>
    </cfRule>
  </conditionalFormatting>
  <conditionalFormatting sqref="C52">
    <cfRule type="cellIs" dxfId="116" priority="4" stopIfTrue="1" operator="equal">
      <formula>#DIV/0!</formula>
    </cfRule>
    <cfRule type="cellIs" dxfId="115" priority="5" stopIfTrue="1" operator="equal">
      <formula>"OK"</formula>
    </cfRule>
    <cfRule type="cellIs" dxfId="114" priority="6" stopIfTrue="1" operator="equal">
      <formula>"Too Many"</formula>
    </cfRule>
  </conditionalFormatting>
  <conditionalFormatting sqref="C53">
    <cfRule type="cellIs" dxfId="113" priority="1" stopIfTrue="1" operator="equal">
      <formula>#DIV/0!</formula>
    </cfRule>
    <cfRule type="cellIs" dxfId="112" priority="2" stopIfTrue="1" operator="equal">
      <formula>"OK"</formula>
    </cfRule>
    <cfRule type="cellIs" dxfId="111" priority="3" stopIfTrue="1" operator="equal">
      <formula>"Too Many"</formula>
    </cfRule>
  </conditionalFormatting>
  <pageMargins left="0.7" right="0.7" top="0.75" bottom="0.75" header="0.3" footer="0.3"/>
  <pageSetup scale="68" fitToHeight="0"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F35"/>
  <sheetViews>
    <sheetView workbookViewId="0">
      <selection sqref="A1:F1"/>
    </sheetView>
  </sheetViews>
  <sheetFormatPr baseColWidth="10" defaultColWidth="9.140625" defaultRowHeight="12.75" x14ac:dyDescent="0.2"/>
  <cols>
    <col min="1" max="1" width="9.140625" bestFit="1" customWidth="1"/>
    <col min="2" max="2" width="14.85546875" bestFit="1" customWidth="1"/>
    <col min="3" max="3" width="66" customWidth="1"/>
    <col min="4" max="4" width="9.140625" style="3" bestFit="1"/>
    <col min="5" max="5" width="8.5703125" bestFit="1" customWidth="1"/>
    <col min="6" max="6" width="21.42578125" style="3" customWidth="1"/>
    <col min="8" max="8" width="17.42578125" bestFit="1" customWidth="1"/>
    <col min="9" max="9" width="8" bestFit="1" customWidth="1"/>
  </cols>
  <sheetData>
    <row r="1" spans="1:6" ht="18" x14ac:dyDescent="0.25">
      <c r="A1" s="160" t="str">
        <f>'Building Total'!C31</f>
        <v>Level 7</v>
      </c>
      <c r="B1" s="160"/>
      <c r="C1" s="160"/>
      <c r="D1" s="160"/>
      <c r="E1" s="160"/>
      <c r="F1" s="160"/>
    </row>
    <row r="2" spans="1:6" x14ac:dyDescent="0.2">
      <c r="A2" s="140" t="s">
        <v>9</v>
      </c>
      <c r="B2" s="141"/>
      <c r="C2" s="141"/>
      <c r="D2" s="141"/>
      <c r="E2" s="141"/>
      <c r="F2" s="142"/>
    </row>
    <row r="3" spans="1:6" ht="12.75" customHeight="1" x14ac:dyDescent="0.2">
      <c r="A3" s="104" t="s">
        <v>116</v>
      </c>
      <c r="B3" s="104" t="s">
        <v>117</v>
      </c>
      <c r="C3" s="104" t="s">
        <v>0</v>
      </c>
      <c r="D3" s="104" t="s">
        <v>118</v>
      </c>
      <c r="E3" s="104" t="s">
        <v>119</v>
      </c>
      <c r="F3" s="104" t="s">
        <v>3</v>
      </c>
    </row>
    <row r="4" spans="1:6" ht="12.75" customHeight="1" x14ac:dyDescent="0.2">
      <c r="A4" s="184" t="s">
        <v>37</v>
      </c>
      <c r="B4" s="103" t="s">
        <v>10</v>
      </c>
      <c r="C4" s="103" t="s">
        <v>30</v>
      </c>
      <c r="D4" s="2">
        <f>'1'!D4</f>
        <v>279</v>
      </c>
      <c r="E4" s="50"/>
      <c r="F4" s="2">
        <f t="shared" ref="F4:F25" si="0">E4*D4</f>
        <v>0</v>
      </c>
    </row>
    <row r="5" spans="1:6" x14ac:dyDescent="0.2">
      <c r="A5" s="185"/>
      <c r="B5" s="66" t="s">
        <v>179</v>
      </c>
      <c r="C5" s="103" t="s">
        <v>31</v>
      </c>
      <c r="D5" s="2">
        <f>'1'!D5</f>
        <v>279</v>
      </c>
      <c r="E5" s="50"/>
      <c r="F5" s="2">
        <f t="shared" si="0"/>
        <v>0</v>
      </c>
    </row>
    <row r="6" spans="1:6" x14ac:dyDescent="0.2">
      <c r="A6" s="185"/>
      <c r="B6" s="103" t="s">
        <v>32</v>
      </c>
      <c r="C6" s="103" t="s">
        <v>33</v>
      </c>
      <c r="D6" s="2">
        <f>'1'!D6</f>
        <v>279</v>
      </c>
      <c r="E6" s="50"/>
      <c r="F6" s="2">
        <f t="shared" si="0"/>
        <v>0</v>
      </c>
    </row>
    <row r="7" spans="1:6" x14ac:dyDescent="0.2">
      <c r="A7" s="185"/>
      <c r="B7" s="66" t="s">
        <v>180</v>
      </c>
      <c r="C7" s="103" t="s">
        <v>34</v>
      </c>
      <c r="D7" s="2">
        <f>'1'!D7</f>
        <v>279</v>
      </c>
      <c r="E7" s="50"/>
      <c r="F7" s="2">
        <f t="shared" si="0"/>
        <v>0</v>
      </c>
    </row>
    <row r="8" spans="1:6" x14ac:dyDescent="0.2">
      <c r="A8" s="185"/>
      <c r="B8" s="26" t="s">
        <v>28</v>
      </c>
      <c r="C8" s="25" t="s">
        <v>27</v>
      </c>
      <c r="D8" s="2">
        <f>'1'!D8</f>
        <v>427</v>
      </c>
      <c r="E8" s="50"/>
      <c r="F8" s="2">
        <f t="shared" si="0"/>
        <v>0</v>
      </c>
    </row>
    <row r="9" spans="1:6" ht="12.75" customHeight="1" x14ac:dyDescent="0.2">
      <c r="A9" s="186"/>
      <c r="B9" s="56" t="s">
        <v>181</v>
      </c>
      <c r="C9" s="25" t="s">
        <v>29</v>
      </c>
      <c r="D9" s="2">
        <f>'1'!D9</f>
        <v>482</v>
      </c>
      <c r="E9" s="50"/>
      <c r="F9" s="2">
        <f t="shared" si="0"/>
        <v>0</v>
      </c>
    </row>
    <row r="10" spans="1:6" ht="12.75" customHeight="1" x14ac:dyDescent="0.2">
      <c r="A10" s="164" t="s">
        <v>38</v>
      </c>
      <c r="B10" s="29" t="s">
        <v>12</v>
      </c>
      <c r="C10" s="29" t="s">
        <v>13</v>
      </c>
      <c r="D10" s="30">
        <f>'1'!D10</f>
        <v>149</v>
      </c>
      <c r="E10" s="51"/>
      <c r="F10" s="30">
        <f t="shared" si="0"/>
        <v>0</v>
      </c>
    </row>
    <row r="11" spans="1:6" ht="12.75" customHeight="1" x14ac:dyDescent="0.2">
      <c r="A11" s="166"/>
      <c r="B11" s="32" t="s">
        <v>35</v>
      </c>
      <c r="C11" s="33" t="s">
        <v>36</v>
      </c>
      <c r="D11" s="30">
        <f>'1'!D11</f>
        <v>149</v>
      </c>
      <c r="E11" s="51"/>
      <c r="F11" s="30">
        <f>E11*D11</f>
        <v>0</v>
      </c>
    </row>
    <row r="12" spans="1:6" ht="12.75" customHeight="1" x14ac:dyDescent="0.2">
      <c r="A12" s="184" t="s">
        <v>41</v>
      </c>
      <c r="B12" s="66" t="s">
        <v>205</v>
      </c>
      <c r="C12" s="66" t="s">
        <v>206</v>
      </c>
      <c r="D12" s="2">
        <f>'1'!D12</f>
        <v>215</v>
      </c>
      <c r="E12" s="50"/>
      <c r="F12" s="2">
        <f t="shared" si="0"/>
        <v>0</v>
      </c>
    </row>
    <row r="13" spans="1:6" x14ac:dyDescent="0.2">
      <c r="A13" s="185"/>
      <c r="B13" s="103" t="s">
        <v>25</v>
      </c>
      <c r="C13" s="103" t="s">
        <v>26</v>
      </c>
      <c r="D13" s="2">
        <f>'1'!D13</f>
        <v>185</v>
      </c>
      <c r="E13" s="50"/>
      <c r="F13" s="2">
        <f t="shared" si="0"/>
        <v>0</v>
      </c>
    </row>
    <row r="14" spans="1:6" ht="12.75" customHeight="1" x14ac:dyDescent="0.2">
      <c r="A14" s="164" t="s">
        <v>42</v>
      </c>
      <c r="B14" s="29" t="s">
        <v>17</v>
      </c>
      <c r="C14" s="29" t="s">
        <v>18</v>
      </c>
      <c r="D14" s="30">
        <f>'1'!D14</f>
        <v>30</v>
      </c>
      <c r="E14" s="52">
        <f>ROUNDUP((E4+E6+E8+E10+E11)/5,0)</f>
        <v>0</v>
      </c>
      <c r="F14" s="30">
        <f t="shared" si="0"/>
        <v>0</v>
      </c>
    </row>
    <row r="15" spans="1:6" x14ac:dyDescent="0.2">
      <c r="A15" s="165"/>
      <c r="B15" s="31" t="s">
        <v>22</v>
      </c>
      <c r="C15" s="31" t="s">
        <v>23</v>
      </c>
      <c r="D15" s="30">
        <f>'1'!D15</f>
        <v>60</v>
      </c>
      <c r="E15" s="51"/>
      <c r="F15" s="30">
        <f t="shared" si="0"/>
        <v>0</v>
      </c>
    </row>
    <row r="16" spans="1:6" x14ac:dyDescent="0.2">
      <c r="A16" s="165"/>
      <c r="B16" s="42" t="s">
        <v>207</v>
      </c>
      <c r="C16" s="42" t="s">
        <v>208</v>
      </c>
      <c r="D16" s="30">
        <f>'1'!D16</f>
        <v>30</v>
      </c>
      <c r="E16" s="51"/>
      <c r="F16" s="30">
        <f t="shared" si="0"/>
        <v>0</v>
      </c>
    </row>
    <row r="17" spans="1:6" ht="12.75" customHeight="1" x14ac:dyDescent="0.2">
      <c r="A17" s="165"/>
      <c r="B17" s="51" t="s">
        <v>102</v>
      </c>
      <c r="C17" s="29" t="str">
        <f>IF(B17=MISC!B27,MISC!C27,IF(B17=MISC!B25,MISC!C25,IF(B17=MISC!#REF!,MISC!#REF!)))</f>
        <v>Reader Certified Cable w/ 2 RJ12 (6 pin) connectors 30 feet Plenum</v>
      </c>
      <c r="D17" s="30">
        <f>IF(B17=MISC!B25,MISC!D25,IF(B17=MISC!B27,MISC!D27,IF(B17=MISC!#REF!,MISC!#REF!)))</f>
        <v>25</v>
      </c>
      <c r="E17" s="52">
        <f>(SUM(E4:E10))+SUM(E12:E13)+SUM(E20:E22)</f>
        <v>0</v>
      </c>
      <c r="F17" s="30">
        <f t="shared" si="0"/>
        <v>0</v>
      </c>
    </row>
    <row r="18" spans="1:6" ht="12.75" customHeight="1" x14ac:dyDescent="0.2">
      <c r="A18" s="165"/>
      <c r="B18" s="65" t="s">
        <v>182</v>
      </c>
      <c r="C18" s="31" t="s">
        <v>24</v>
      </c>
      <c r="D18" s="30">
        <f>'1'!D18</f>
        <v>24</v>
      </c>
      <c r="E18" s="52">
        <f>E17</f>
        <v>0</v>
      </c>
      <c r="F18" s="30">
        <f t="shared" si="0"/>
        <v>0</v>
      </c>
    </row>
    <row r="19" spans="1:6" ht="12.75" customHeight="1" x14ac:dyDescent="0.2">
      <c r="A19" s="166"/>
      <c r="B19" s="74" t="s">
        <v>114</v>
      </c>
      <c r="C19" s="42" t="s">
        <v>115</v>
      </c>
      <c r="D19" s="30">
        <f>'1'!D19</f>
        <v>44</v>
      </c>
      <c r="E19" s="51"/>
      <c r="F19" s="30">
        <f t="shared" si="0"/>
        <v>0</v>
      </c>
    </row>
    <row r="20" spans="1:6" ht="12.75" customHeight="1" x14ac:dyDescent="0.2">
      <c r="A20" s="187" t="s">
        <v>44</v>
      </c>
      <c r="B20" s="81" t="s">
        <v>183</v>
      </c>
      <c r="C20" s="34" t="s">
        <v>46</v>
      </c>
      <c r="D20" s="64">
        <f>'1'!D20</f>
        <v>179</v>
      </c>
      <c r="E20" s="53"/>
      <c r="F20" s="28">
        <f t="shared" si="0"/>
        <v>0</v>
      </c>
    </row>
    <row r="21" spans="1:6" ht="12.75" customHeight="1" x14ac:dyDescent="0.2">
      <c r="A21" s="188"/>
      <c r="B21" s="81" t="s">
        <v>184</v>
      </c>
      <c r="C21" s="34" t="s">
        <v>47</v>
      </c>
      <c r="D21" s="64">
        <f>'1'!D21</f>
        <v>179</v>
      </c>
      <c r="E21" s="53"/>
      <c r="F21" s="28">
        <f t="shared" si="0"/>
        <v>0</v>
      </c>
    </row>
    <row r="22" spans="1:6" ht="12.75" customHeight="1" x14ac:dyDescent="0.2">
      <c r="A22" s="189" t="s">
        <v>45</v>
      </c>
      <c r="B22" s="29" t="s">
        <v>48</v>
      </c>
      <c r="C22" s="31" t="s">
        <v>49</v>
      </c>
      <c r="D22" s="30">
        <f>'1'!D22</f>
        <v>189</v>
      </c>
      <c r="E22" s="51"/>
      <c r="F22" s="30">
        <f t="shared" si="0"/>
        <v>0</v>
      </c>
    </row>
    <row r="23" spans="1:6" ht="12.75" customHeight="1" x14ac:dyDescent="0.2">
      <c r="A23" s="190"/>
      <c r="B23" s="29" t="s">
        <v>50</v>
      </c>
      <c r="C23" s="31" t="s">
        <v>51</v>
      </c>
      <c r="D23" s="30">
        <f>'1'!D23</f>
        <v>189</v>
      </c>
      <c r="E23" s="51"/>
      <c r="F23" s="30">
        <f t="shared" si="0"/>
        <v>0</v>
      </c>
    </row>
    <row r="24" spans="1:6" x14ac:dyDescent="0.2">
      <c r="A24" s="185" t="s">
        <v>43</v>
      </c>
      <c r="B24" s="24" t="s">
        <v>39</v>
      </c>
      <c r="C24" s="24" t="s">
        <v>40</v>
      </c>
      <c r="D24" s="64">
        <f>'1'!D24</f>
        <v>299</v>
      </c>
      <c r="E24" s="50"/>
      <c r="F24" s="2">
        <f t="shared" si="0"/>
        <v>0</v>
      </c>
    </row>
    <row r="25" spans="1:6" x14ac:dyDescent="0.2">
      <c r="A25" s="186"/>
      <c r="B25" s="105" t="s">
        <v>108</v>
      </c>
      <c r="C25" s="105" t="s">
        <v>109</v>
      </c>
      <c r="D25" s="64">
        <f>'1'!D25</f>
        <v>299</v>
      </c>
      <c r="E25" s="50"/>
      <c r="F25" s="2">
        <f t="shared" si="0"/>
        <v>0</v>
      </c>
    </row>
    <row r="26" spans="1:6" ht="15.75" x14ac:dyDescent="0.25">
      <c r="A26" s="151" t="s">
        <v>16</v>
      </c>
      <c r="B26" s="152"/>
      <c r="C26" s="152"/>
      <c r="D26" s="152"/>
      <c r="E26" s="153"/>
      <c r="F26" s="4">
        <f>SUM(F2:F25)</f>
        <v>0</v>
      </c>
    </row>
    <row r="29" spans="1:6" x14ac:dyDescent="0.2">
      <c r="B29" s="36" t="s">
        <v>52</v>
      </c>
      <c r="C29" s="37">
        <f>SUM(E4:E13)</f>
        <v>0</v>
      </c>
    </row>
    <row r="30" spans="1:6" x14ac:dyDescent="0.2">
      <c r="B30" s="36" t="s">
        <v>53</v>
      </c>
      <c r="C30" s="37">
        <f>(0.1*SUM(E4:E9))+(0.03*E10)+(0.075*E11)+(0.25*E12)+(0.075*SUM(E13:E13))+(0.06*E22)+(0.1*E23)+(0.125*E20)+(0.15*E21)</f>
        <v>0</v>
      </c>
    </row>
    <row r="31" spans="1:6" x14ac:dyDescent="0.2">
      <c r="B31" s="36" t="s">
        <v>54</v>
      </c>
      <c r="C31" s="35" t="str">
        <f>IF(OR(C30&lt;=((E24*10)+(E25*6)-1),C30=0),"OK","More Power")</f>
        <v>OK</v>
      </c>
    </row>
    <row r="32" spans="1:6" x14ac:dyDescent="0.2">
      <c r="B32" s="38" t="s">
        <v>55</v>
      </c>
      <c r="C32" s="40" t="str">
        <f>IF(IF(AND((E4+E5+E8+E9)=0,(E6+E7+E10+E12+E13+E20+E22)=0),0,(E6+E7+E10+E12+E13+E20+E22)/(E4+E5+E8+E9)&gt;15),"Too Many","OK")</f>
        <v>OK</v>
      </c>
    </row>
    <row r="33" spans="1:3" x14ac:dyDescent="0.2">
      <c r="A33" s="22"/>
      <c r="B33" s="71" t="s">
        <v>135</v>
      </c>
      <c r="C33" s="72" t="str">
        <f>IF(IF(AND(E6=0,E7=0),0,(E6+E7)/(E4+E5+E8+E9)&gt;7),"Too Many","OK")</f>
        <v>OK</v>
      </c>
    </row>
    <row r="34" spans="1:3" x14ac:dyDescent="0.2">
      <c r="A34" s="22"/>
      <c r="B34" s="22"/>
      <c r="C34" s="22"/>
    </row>
    <row r="35" spans="1:3" x14ac:dyDescent="0.2">
      <c r="A35" s="22"/>
      <c r="B35" s="22"/>
      <c r="C35" s="22"/>
    </row>
  </sheetData>
  <sheetProtection password="C4C4" sheet="1" objects="1" scenarios="1"/>
  <mergeCells count="10">
    <mergeCell ref="A26:E26"/>
    <mergeCell ref="A1:F1"/>
    <mergeCell ref="A4:A9"/>
    <mergeCell ref="A10:A11"/>
    <mergeCell ref="A12:A13"/>
    <mergeCell ref="A2:F2"/>
    <mergeCell ref="A14:A19"/>
    <mergeCell ref="A20:A21"/>
    <mergeCell ref="A22:A23"/>
    <mergeCell ref="A24:A25"/>
  </mergeCells>
  <phoneticPr fontId="1" type="noConversion"/>
  <conditionalFormatting sqref="C33">
    <cfRule type="cellIs" dxfId="60" priority="1" operator="equal">
      <formula>"OK"</formula>
    </cfRule>
    <cfRule type="cellIs" dxfId="59" priority="2" operator="equal">
      <formula>"Too Many"</formula>
    </cfRule>
  </conditionalFormatting>
  <conditionalFormatting sqref="C32">
    <cfRule type="cellIs" dxfId="58" priority="5" stopIfTrue="1" operator="equal">
      <formula>#DIV/0!</formula>
    </cfRule>
    <cfRule type="cellIs" dxfId="57" priority="6" stopIfTrue="1" operator="equal">
      <formula>"OK"</formula>
    </cfRule>
    <cfRule type="cellIs" dxfId="56" priority="7" stopIfTrue="1" operator="equal">
      <formula>"Too Many"</formula>
    </cfRule>
  </conditionalFormatting>
  <conditionalFormatting sqref="C31">
    <cfRule type="cellIs" dxfId="55" priority="3" stopIfTrue="1" operator="equal">
      <formula>"OK"</formula>
    </cfRule>
    <cfRule type="cellIs" dxfId="54" priority="4" stopIfTrue="1" operator="equal">
      <formula>"More Power"</formula>
    </cfRule>
  </conditionalFormatting>
  <pageMargins left="0.7" right="0.7" top="0.75" bottom="0.75" header="0.3" footer="0.3"/>
  <pageSetup scale="71" fitToHeight="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MISC!$B$27:$B$27</xm:f>
          </x14:formula1>
          <xm:sqref>B17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F35"/>
  <sheetViews>
    <sheetView workbookViewId="0">
      <selection sqref="A1:F1"/>
    </sheetView>
  </sheetViews>
  <sheetFormatPr baseColWidth="10" defaultColWidth="9.140625" defaultRowHeight="12.75" x14ac:dyDescent="0.2"/>
  <cols>
    <col min="1" max="1" width="9.140625" bestFit="1" customWidth="1"/>
    <col min="2" max="2" width="14.85546875" bestFit="1" customWidth="1"/>
    <col min="3" max="3" width="66" customWidth="1"/>
    <col min="4" max="4" width="9.140625" style="3" bestFit="1"/>
    <col min="5" max="5" width="8.5703125" bestFit="1" customWidth="1"/>
    <col min="6" max="6" width="21.42578125" style="3" customWidth="1"/>
    <col min="8" max="8" width="17.42578125" bestFit="1" customWidth="1"/>
    <col min="9" max="9" width="8" bestFit="1" customWidth="1"/>
  </cols>
  <sheetData>
    <row r="1" spans="1:6" ht="18" x14ac:dyDescent="0.25">
      <c r="A1" s="160" t="str">
        <f>'Building Total'!C32</f>
        <v>Level 8</v>
      </c>
      <c r="B1" s="160"/>
      <c r="C1" s="160"/>
      <c r="D1" s="160"/>
      <c r="E1" s="160"/>
      <c r="F1" s="160"/>
    </row>
    <row r="2" spans="1:6" x14ac:dyDescent="0.2">
      <c r="A2" s="140" t="s">
        <v>9</v>
      </c>
      <c r="B2" s="141"/>
      <c r="C2" s="141"/>
      <c r="D2" s="141"/>
      <c r="E2" s="141"/>
      <c r="F2" s="142"/>
    </row>
    <row r="3" spans="1:6" ht="12.75" customHeight="1" x14ac:dyDescent="0.2">
      <c r="A3" s="104" t="s">
        <v>116</v>
      </c>
      <c r="B3" s="104" t="s">
        <v>117</v>
      </c>
      <c r="C3" s="104" t="s">
        <v>0</v>
      </c>
      <c r="D3" s="104" t="s">
        <v>118</v>
      </c>
      <c r="E3" s="104" t="s">
        <v>119</v>
      </c>
      <c r="F3" s="104" t="s">
        <v>3</v>
      </c>
    </row>
    <row r="4" spans="1:6" ht="12.75" customHeight="1" x14ac:dyDescent="0.2">
      <c r="A4" s="184" t="s">
        <v>37</v>
      </c>
      <c r="B4" s="103" t="s">
        <v>10</v>
      </c>
      <c r="C4" s="103" t="s">
        <v>30</v>
      </c>
      <c r="D4" s="2">
        <f>'1'!D4</f>
        <v>279</v>
      </c>
      <c r="E4" s="50"/>
      <c r="F4" s="2">
        <f t="shared" ref="F4:F25" si="0">E4*D4</f>
        <v>0</v>
      </c>
    </row>
    <row r="5" spans="1:6" x14ac:dyDescent="0.2">
      <c r="A5" s="185"/>
      <c r="B5" s="66" t="s">
        <v>179</v>
      </c>
      <c r="C5" s="103" t="s">
        <v>31</v>
      </c>
      <c r="D5" s="2">
        <f>'1'!D5</f>
        <v>279</v>
      </c>
      <c r="E5" s="50"/>
      <c r="F5" s="2">
        <f t="shared" si="0"/>
        <v>0</v>
      </c>
    </row>
    <row r="6" spans="1:6" x14ac:dyDescent="0.2">
      <c r="A6" s="185"/>
      <c r="B6" s="103" t="s">
        <v>32</v>
      </c>
      <c r="C6" s="103" t="s">
        <v>33</v>
      </c>
      <c r="D6" s="2">
        <f>'1'!D6</f>
        <v>279</v>
      </c>
      <c r="E6" s="50"/>
      <c r="F6" s="2">
        <f t="shared" si="0"/>
        <v>0</v>
      </c>
    </row>
    <row r="7" spans="1:6" x14ac:dyDescent="0.2">
      <c r="A7" s="185"/>
      <c r="B7" s="66" t="s">
        <v>180</v>
      </c>
      <c r="C7" s="103" t="s">
        <v>34</v>
      </c>
      <c r="D7" s="2">
        <f>'1'!D7</f>
        <v>279</v>
      </c>
      <c r="E7" s="50"/>
      <c r="F7" s="2">
        <f t="shared" si="0"/>
        <v>0</v>
      </c>
    </row>
    <row r="8" spans="1:6" x14ac:dyDescent="0.2">
      <c r="A8" s="185"/>
      <c r="B8" s="26" t="s">
        <v>28</v>
      </c>
      <c r="C8" s="25" t="s">
        <v>27</v>
      </c>
      <c r="D8" s="2">
        <f>'1'!D8</f>
        <v>427</v>
      </c>
      <c r="E8" s="50"/>
      <c r="F8" s="2">
        <f t="shared" si="0"/>
        <v>0</v>
      </c>
    </row>
    <row r="9" spans="1:6" ht="12.75" customHeight="1" x14ac:dyDescent="0.2">
      <c r="A9" s="186"/>
      <c r="B9" s="56" t="s">
        <v>181</v>
      </c>
      <c r="C9" s="25" t="s">
        <v>29</v>
      </c>
      <c r="D9" s="2">
        <f>'1'!D9</f>
        <v>482</v>
      </c>
      <c r="E9" s="50"/>
      <c r="F9" s="2">
        <f t="shared" si="0"/>
        <v>0</v>
      </c>
    </row>
    <row r="10" spans="1:6" ht="12.75" customHeight="1" x14ac:dyDescent="0.2">
      <c r="A10" s="164" t="s">
        <v>38</v>
      </c>
      <c r="B10" s="29" t="s">
        <v>12</v>
      </c>
      <c r="C10" s="29" t="s">
        <v>13</v>
      </c>
      <c r="D10" s="30">
        <f>'1'!D10</f>
        <v>149</v>
      </c>
      <c r="E10" s="51"/>
      <c r="F10" s="30">
        <f t="shared" si="0"/>
        <v>0</v>
      </c>
    </row>
    <row r="11" spans="1:6" ht="12.75" customHeight="1" x14ac:dyDescent="0.2">
      <c r="A11" s="166"/>
      <c r="B11" s="32" t="s">
        <v>35</v>
      </c>
      <c r="C11" s="33" t="s">
        <v>36</v>
      </c>
      <c r="D11" s="30">
        <f>'1'!D11</f>
        <v>149</v>
      </c>
      <c r="E11" s="51"/>
      <c r="F11" s="30">
        <f>E11*D11</f>
        <v>0</v>
      </c>
    </row>
    <row r="12" spans="1:6" ht="12.75" customHeight="1" x14ac:dyDescent="0.2">
      <c r="A12" s="184" t="s">
        <v>41</v>
      </c>
      <c r="B12" s="66" t="s">
        <v>205</v>
      </c>
      <c r="C12" s="66" t="s">
        <v>206</v>
      </c>
      <c r="D12" s="2">
        <f>'1'!D12</f>
        <v>215</v>
      </c>
      <c r="E12" s="50"/>
      <c r="F12" s="2">
        <f t="shared" si="0"/>
        <v>0</v>
      </c>
    </row>
    <row r="13" spans="1:6" x14ac:dyDescent="0.2">
      <c r="A13" s="185"/>
      <c r="B13" s="103" t="s">
        <v>25</v>
      </c>
      <c r="C13" s="103" t="s">
        <v>26</v>
      </c>
      <c r="D13" s="2">
        <f>'1'!D13</f>
        <v>185</v>
      </c>
      <c r="E13" s="50"/>
      <c r="F13" s="2">
        <f t="shared" si="0"/>
        <v>0</v>
      </c>
    </row>
    <row r="14" spans="1:6" ht="12.75" customHeight="1" x14ac:dyDescent="0.2">
      <c r="A14" s="164" t="s">
        <v>42</v>
      </c>
      <c r="B14" s="29" t="s">
        <v>17</v>
      </c>
      <c r="C14" s="29" t="s">
        <v>18</v>
      </c>
      <c r="D14" s="30">
        <f>'1'!D14</f>
        <v>30</v>
      </c>
      <c r="E14" s="52">
        <f>ROUNDUP((E4+E6+E8+E10+E11)/5,0)</f>
        <v>0</v>
      </c>
      <c r="F14" s="30">
        <f t="shared" si="0"/>
        <v>0</v>
      </c>
    </row>
    <row r="15" spans="1:6" x14ac:dyDescent="0.2">
      <c r="A15" s="165"/>
      <c r="B15" s="31" t="s">
        <v>22</v>
      </c>
      <c r="C15" s="31" t="s">
        <v>23</v>
      </c>
      <c r="D15" s="30">
        <f>'1'!D15</f>
        <v>60</v>
      </c>
      <c r="E15" s="51"/>
      <c r="F15" s="30">
        <f t="shared" si="0"/>
        <v>0</v>
      </c>
    </row>
    <row r="16" spans="1:6" x14ac:dyDescent="0.2">
      <c r="A16" s="165"/>
      <c r="B16" s="42" t="s">
        <v>207</v>
      </c>
      <c r="C16" s="42" t="s">
        <v>208</v>
      </c>
      <c r="D16" s="30">
        <f>'1'!D16</f>
        <v>30</v>
      </c>
      <c r="E16" s="51"/>
      <c r="F16" s="30">
        <f t="shared" si="0"/>
        <v>0</v>
      </c>
    </row>
    <row r="17" spans="1:6" ht="12.75" customHeight="1" x14ac:dyDescent="0.2">
      <c r="A17" s="165"/>
      <c r="B17" s="51" t="s">
        <v>102</v>
      </c>
      <c r="C17" s="29" t="str">
        <f>IF(B17=MISC!B27,MISC!C27,IF(B17=MISC!B25,MISC!C25,IF(B17=MISC!#REF!,MISC!#REF!)))</f>
        <v>Reader Certified Cable w/ 2 RJ12 (6 pin) connectors 30 feet Plenum</v>
      </c>
      <c r="D17" s="30">
        <f>IF(B17=MISC!B25,MISC!D25,IF(B17=MISC!B27,MISC!D27,IF(B17=MISC!#REF!,MISC!#REF!)))</f>
        <v>25</v>
      </c>
      <c r="E17" s="52">
        <f>(SUM(E4:E10))+SUM(E12:E13)+SUM(E20:E22)</f>
        <v>0</v>
      </c>
      <c r="F17" s="30">
        <f t="shared" si="0"/>
        <v>0</v>
      </c>
    </row>
    <row r="18" spans="1:6" ht="12.75" customHeight="1" x14ac:dyDescent="0.2">
      <c r="A18" s="165"/>
      <c r="B18" s="65" t="s">
        <v>182</v>
      </c>
      <c r="C18" s="31" t="s">
        <v>24</v>
      </c>
      <c r="D18" s="30">
        <f>'1'!D18</f>
        <v>24</v>
      </c>
      <c r="E18" s="52">
        <f>E17</f>
        <v>0</v>
      </c>
      <c r="F18" s="30">
        <f t="shared" si="0"/>
        <v>0</v>
      </c>
    </row>
    <row r="19" spans="1:6" ht="12.75" customHeight="1" x14ac:dyDescent="0.2">
      <c r="A19" s="166"/>
      <c r="B19" s="74" t="s">
        <v>114</v>
      </c>
      <c r="C19" s="42" t="s">
        <v>115</v>
      </c>
      <c r="D19" s="30">
        <f>'1'!D19</f>
        <v>44</v>
      </c>
      <c r="E19" s="51"/>
      <c r="F19" s="30">
        <f t="shared" si="0"/>
        <v>0</v>
      </c>
    </row>
    <row r="20" spans="1:6" ht="12.75" customHeight="1" x14ac:dyDescent="0.2">
      <c r="A20" s="187" t="s">
        <v>44</v>
      </c>
      <c r="B20" s="81" t="s">
        <v>183</v>
      </c>
      <c r="C20" s="34" t="s">
        <v>46</v>
      </c>
      <c r="D20" s="64">
        <f>'1'!D20</f>
        <v>179</v>
      </c>
      <c r="E20" s="53"/>
      <c r="F20" s="28">
        <f t="shared" si="0"/>
        <v>0</v>
      </c>
    </row>
    <row r="21" spans="1:6" ht="12.75" customHeight="1" x14ac:dyDescent="0.2">
      <c r="A21" s="188"/>
      <c r="B21" s="81" t="s">
        <v>184</v>
      </c>
      <c r="C21" s="34" t="s">
        <v>47</v>
      </c>
      <c r="D21" s="64">
        <f>'1'!D21</f>
        <v>179</v>
      </c>
      <c r="E21" s="53"/>
      <c r="F21" s="28">
        <f t="shared" si="0"/>
        <v>0</v>
      </c>
    </row>
    <row r="22" spans="1:6" ht="12.75" customHeight="1" x14ac:dyDescent="0.2">
      <c r="A22" s="189" t="s">
        <v>45</v>
      </c>
      <c r="B22" s="29" t="s">
        <v>48</v>
      </c>
      <c r="C22" s="31" t="s">
        <v>49</v>
      </c>
      <c r="D22" s="30">
        <f>'1'!D22</f>
        <v>189</v>
      </c>
      <c r="E22" s="51"/>
      <c r="F22" s="30">
        <f t="shared" si="0"/>
        <v>0</v>
      </c>
    </row>
    <row r="23" spans="1:6" ht="12.75" customHeight="1" x14ac:dyDescent="0.2">
      <c r="A23" s="190"/>
      <c r="B23" s="29" t="s">
        <v>50</v>
      </c>
      <c r="C23" s="31" t="s">
        <v>51</v>
      </c>
      <c r="D23" s="30">
        <f>'1'!D23</f>
        <v>189</v>
      </c>
      <c r="E23" s="51"/>
      <c r="F23" s="30">
        <f t="shared" si="0"/>
        <v>0</v>
      </c>
    </row>
    <row r="24" spans="1:6" x14ac:dyDescent="0.2">
      <c r="A24" s="185" t="s">
        <v>43</v>
      </c>
      <c r="B24" s="24" t="s">
        <v>39</v>
      </c>
      <c r="C24" s="24" t="s">
        <v>40</v>
      </c>
      <c r="D24" s="64">
        <f>'1'!D24</f>
        <v>299</v>
      </c>
      <c r="E24" s="50"/>
      <c r="F24" s="2">
        <f t="shared" si="0"/>
        <v>0</v>
      </c>
    </row>
    <row r="25" spans="1:6" x14ac:dyDescent="0.2">
      <c r="A25" s="186"/>
      <c r="B25" s="105" t="s">
        <v>108</v>
      </c>
      <c r="C25" s="105" t="s">
        <v>109</v>
      </c>
      <c r="D25" s="64">
        <f>'1'!D25</f>
        <v>299</v>
      </c>
      <c r="E25" s="50"/>
      <c r="F25" s="2">
        <f t="shared" si="0"/>
        <v>0</v>
      </c>
    </row>
    <row r="26" spans="1:6" ht="15.75" x14ac:dyDescent="0.25">
      <c r="A26" s="151" t="s">
        <v>16</v>
      </c>
      <c r="B26" s="152"/>
      <c r="C26" s="152"/>
      <c r="D26" s="152"/>
      <c r="E26" s="153"/>
      <c r="F26" s="4">
        <f>SUM(F2:F25)</f>
        <v>0</v>
      </c>
    </row>
    <row r="29" spans="1:6" x14ac:dyDescent="0.2">
      <c r="B29" s="36" t="s">
        <v>52</v>
      </c>
      <c r="C29" s="37">
        <f>SUM(E4:E13)</f>
        <v>0</v>
      </c>
    </row>
    <row r="30" spans="1:6" x14ac:dyDescent="0.2">
      <c r="B30" s="36" t="s">
        <v>53</v>
      </c>
      <c r="C30" s="37">
        <f>(0.1*SUM(E4:E9))+(0.03*E10)+(0.075*E11)+(0.25*E12)+(0.075*SUM(E13:E13))+(0.06*E22)+(0.1*E23)+(0.125*E20)+(0.15*E21)</f>
        <v>0</v>
      </c>
    </row>
    <row r="31" spans="1:6" x14ac:dyDescent="0.2">
      <c r="B31" s="36" t="s">
        <v>54</v>
      </c>
      <c r="C31" s="35" t="str">
        <f>IF(OR(C30&lt;=((E24*10)+(E25*6)-1),C30=0),"OK","More Power")</f>
        <v>OK</v>
      </c>
    </row>
    <row r="32" spans="1:6" x14ac:dyDescent="0.2">
      <c r="B32" s="38" t="s">
        <v>55</v>
      </c>
      <c r="C32" s="40" t="str">
        <f>IF(IF(AND((E4+E5+E8+E9)=0,(E6+E7+E10+E12+E13+E20+E22)=0),0,(E6+E7+E10+E12+E13+E20+E22)/(E4+E5+E8+E9)&gt;15),"Too Many","OK")</f>
        <v>OK</v>
      </c>
    </row>
    <row r="33" spans="1:3" x14ac:dyDescent="0.2">
      <c r="A33" s="22"/>
      <c r="B33" s="71" t="s">
        <v>135</v>
      </c>
      <c r="C33" s="72" t="str">
        <f>IF(IF(AND(E6=0,E7=0),0,(E6+E7)/(E4+E5+E8+E9)&gt;7),"Too Many","OK")</f>
        <v>OK</v>
      </c>
    </row>
    <row r="34" spans="1:3" x14ac:dyDescent="0.2">
      <c r="A34" s="22"/>
      <c r="B34" s="22"/>
      <c r="C34" s="22"/>
    </row>
    <row r="35" spans="1:3" x14ac:dyDescent="0.2">
      <c r="A35" s="22"/>
      <c r="B35" s="22"/>
      <c r="C35" s="22"/>
    </row>
  </sheetData>
  <sheetProtection password="C4C4" sheet="1" objects="1" scenarios="1"/>
  <mergeCells count="10">
    <mergeCell ref="A26:E26"/>
    <mergeCell ref="A1:F1"/>
    <mergeCell ref="A4:A9"/>
    <mergeCell ref="A10:A11"/>
    <mergeCell ref="A12:A13"/>
    <mergeCell ref="A2:F2"/>
    <mergeCell ref="A14:A19"/>
    <mergeCell ref="A20:A21"/>
    <mergeCell ref="A22:A23"/>
    <mergeCell ref="A24:A25"/>
  </mergeCells>
  <phoneticPr fontId="1" type="noConversion"/>
  <conditionalFormatting sqref="C33">
    <cfRule type="cellIs" dxfId="53" priority="1" operator="equal">
      <formula>"OK"</formula>
    </cfRule>
    <cfRule type="cellIs" dxfId="52" priority="2" operator="equal">
      <formula>"Too Many"</formula>
    </cfRule>
  </conditionalFormatting>
  <conditionalFormatting sqref="C32">
    <cfRule type="cellIs" dxfId="51" priority="5" stopIfTrue="1" operator="equal">
      <formula>#DIV/0!</formula>
    </cfRule>
    <cfRule type="cellIs" dxfId="50" priority="6" stopIfTrue="1" operator="equal">
      <formula>"OK"</formula>
    </cfRule>
    <cfRule type="cellIs" dxfId="49" priority="7" stopIfTrue="1" operator="equal">
      <formula>"Too Many"</formula>
    </cfRule>
  </conditionalFormatting>
  <conditionalFormatting sqref="C31">
    <cfRule type="cellIs" dxfId="48" priority="3" stopIfTrue="1" operator="equal">
      <formula>"OK"</formula>
    </cfRule>
    <cfRule type="cellIs" dxfId="47" priority="4" stopIfTrue="1" operator="equal">
      <formula>"More Power"</formula>
    </cfRule>
  </conditionalFormatting>
  <pageMargins left="0.7" right="0.7" top="0.75" bottom="0.75" header="0.3" footer="0.3"/>
  <pageSetup scale="71" fitToHeight="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MISC!$B$27:$B$27</xm:f>
          </x14:formula1>
          <xm:sqref>B17</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F35"/>
  <sheetViews>
    <sheetView workbookViewId="0">
      <selection sqref="A1:F1"/>
    </sheetView>
  </sheetViews>
  <sheetFormatPr baseColWidth="10" defaultColWidth="9.140625" defaultRowHeight="12.75" x14ac:dyDescent="0.2"/>
  <cols>
    <col min="1" max="1" width="9.140625" bestFit="1" customWidth="1"/>
    <col min="2" max="2" width="14.85546875" bestFit="1" customWidth="1"/>
    <col min="3" max="3" width="66" customWidth="1"/>
    <col min="4" max="4" width="9.140625" style="3" bestFit="1"/>
    <col min="5" max="5" width="8.5703125" bestFit="1" customWidth="1"/>
    <col min="6" max="6" width="21.42578125" style="3" customWidth="1"/>
    <col min="8" max="8" width="17.42578125" bestFit="1" customWidth="1"/>
    <col min="9" max="9" width="8" bestFit="1" customWidth="1"/>
  </cols>
  <sheetData>
    <row r="1" spans="1:6" ht="18" x14ac:dyDescent="0.25">
      <c r="A1" s="160" t="str">
        <f>'Building Total'!C33</f>
        <v>Level 9</v>
      </c>
      <c r="B1" s="160"/>
      <c r="C1" s="160"/>
      <c r="D1" s="160"/>
      <c r="E1" s="160"/>
      <c r="F1" s="160"/>
    </row>
    <row r="2" spans="1:6" x14ac:dyDescent="0.2">
      <c r="A2" s="140" t="s">
        <v>9</v>
      </c>
      <c r="B2" s="141"/>
      <c r="C2" s="141"/>
      <c r="D2" s="141"/>
      <c r="E2" s="141"/>
      <c r="F2" s="142"/>
    </row>
    <row r="3" spans="1:6" ht="12.75" customHeight="1" x14ac:dyDescent="0.2">
      <c r="A3" s="104" t="s">
        <v>116</v>
      </c>
      <c r="B3" s="104" t="s">
        <v>117</v>
      </c>
      <c r="C3" s="104" t="s">
        <v>0</v>
      </c>
      <c r="D3" s="104" t="s">
        <v>118</v>
      </c>
      <c r="E3" s="104" t="s">
        <v>119</v>
      </c>
      <c r="F3" s="104" t="s">
        <v>3</v>
      </c>
    </row>
    <row r="4" spans="1:6" ht="12.75" customHeight="1" x14ac:dyDescent="0.2">
      <c r="A4" s="184" t="s">
        <v>37</v>
      </c>
      <c r="B4" s="103" t="s">
        <v>10</v>
      </c>
      <c r="C4" s="103" t="s">
        <v>30</v>
      </c>
      <c r="D4" s="2">
        <f>'1'!D4</f>
        <v>279</v>
      </c>
      <c r="E4" s="50"/>
      <c r="F4" s="2">
        <f t="shared" ref="F4:F25" si="0">E4*D4</f>
        <v>0</v>
      </c>
    </row>
    <row r="5" spans="1:6" x14ac:dyDescent="0.2">
      <c r="A5" s="185"/>
      <c r="B5" s="66" t="s">
        <v>179</v>
      </c>
      <c r="C5" s="103" t="s">
        <v>31</v>
      </c>
      <c r="D5" s="2">
        <f>'1'!D5</f>
        <v>279</v>
      </c>
      <c r="E5" s="50"/>
      <c r="F5" s="2">
        <f t="shared" si="0"/>
        <v>0</v>
      </c>
    </row>
    <row r="6" spans="1:6" x14ac:dyDescent="0.2">
      <c r="A6" s="185"/>
      <c r="B6" s="103" t="s">
        <v>32</v>
      </c>
      <c r="C6" s="103" t="s">
        <v>33</v>
      </c>
      <c r="D6" s="2">
        <f>'1'!D6</f>
        <v>279</v>
      </c>
      <c r="E6" s="50"/>
      <c r="F6" s="2">
        <f t="shared" si="0"/>
        <v>0</v>
      </c>
    </row>
    <row r="7" spans="1:6" x14ac:dyDescent="0.2">
      <c r="A7" s="185"/>
      <c r="B7" s="66" t="s">
        <v>180</v>
      </c>
      <c r="C7" s="103" t="s">
        <v>34</v>
      </c>
      <c r="D7" s="2">
        <f>'1'!D7</f>
        <v>279</v>
      </c>
      <c r="E7" s="50"/>
      <c r="F7" s="2">
        <f t="shared" si="0"/>
        <v>0</v>
      </c>
    </row>
    <row r="8" spans="1:6" x14ac:dyDescent="0.2">
      <c r="A8" s="185"/>
      <c r="B8" s="26" t="s">
        <v>28</v>
      </c>
      <c r="C8" s="25" t="s">
        <v>27</v>
      </c>
      <c r="D8" s="2">
        <f>'1'!D8</f>
        <v>427</v>
      </c>
      <c r="E8" s="50"/>
      <c r="F8" s="2">
        <f t="shared" si="0"/>
        <v>0</v>
      </c>
    </row>
    <row r="9" spans="1:6" ht="12.75" customHeight="1" x14ac:dyDescent="0.2">
      <c r="A9" s="186"/>
      <c r="B9" s="56" t="s">
        <v>181</v>
      </c>
      <c r="C9" s="25" t="s">
        <v>29</v>
      </c>
      <c r="D9" s="2">
        <f>'1'!D9</f>
        <v>482</v>
      </c>
      <c r="E9" s="50"/>
      <c r="F9" s="2">
        <f t="shared" si="0"/>
        <v>0</v>
      </c>
    </row>
    <row r="10" spans="1:6" ht="12.75" customHeight="1" x14ac:dyDescent="0.2">
      <c r="A10" s="164" t="s">
        <v>38</v>
      </c>
      <c r="B10" s="29" t="s">
        <v>12</v>
      </c>
      <c r="C10" s="29" t="s">
        <v>13</v>
      </c>
      <c r="D10" s="30">
        <f>'1'!D10</f>
        <v>149</v>
      </c>
      <c r="E10" s="51"/>
      <c r="F10" s="30">
        <f t="shared" si="0"/>
        <v>0</v>
      </c>
    </row>
    <row r="11" spans="1:6" ht="12.75" customHeight="1" x14ac:dyDescent="0.2">
      <c r="A11" s="166"/>
      <c r="B11" s="32" t="s">
        <v>35</v>
      </c>
      <c r="C11" s="33" t="s">
        <v>36</v>
      </c>
      <c r="D11" s="30">
        <f>'1'!D11</f>
        <v>149</v>
      </c>
      <c r="E11" s="51"/>
      <c r="F11" s="30">
        <f>E11*D11</f>
        <v>0</v>
      </c>
    </row>
    <row r="12" spans="1:6" ht="12.75" customHeight="1" x14ac:dyDescent="0.2">
      <c r="A12" s="184" t="s">
        <v>41</v>
      </c>
      <c r="B12" s="66" t="s">
        <v>205</v>
      </c>
      <c r="C12" s="66" t="s">
        <v>206</v>
      </c>
      <c r="D12" s="2">
        <f>'1'!D12</f>
        <v>215</v>
      </c>
      <c r="E12" s="50"/>
      <c r="F12" s="2">
        <f t="shared" si="0"/>
        <v>0</v>
      </c>
    </row>
    <row r="13" spans="1:6" x14ac:dyDescent="0.2">
      <c r="A13" s="185"/>
      <c r="B13" s="103" t="s">
        <v>25</v>
      </c>
      <c r="C13" s="103" t="s">
        <v>26</v>
      </c>
      <c r="D13" s="2">
        <f>'1'!D13</f>
        <v>185</v>
      </c>
      <c r="E13" s="50"/>
      <c r="F13" s="2">
        <f t="shared" si="0"/>
        <v>0</v>
      </c>
    </row>
    <row r="14" spans="1:6" ht="12.75" customHeight="1" x14ac:dyDescent="0.2">
      <c r="A14" s="164" t="s">
        <v>42</v>
      </c>
      <c r="B14" s="29" t="s">
        <v>17</v>
      </c>
      <c r="C14" s="29" t="s">
        <v>18</v>
      </c>
      <c r="D14" s="30">
        <f>'1'!D14</f>
        <v>30</v>
      </c>
      <c r="E14" s="52">
        <f>ROUNDUP((E4+E6+E8+E10+E11)/5,0)</f>
        <v>0</v>
      </c>
      <c r="F14" s="30">
        <f t="shared" si="0"/>
        <v>0</v>
      </c>
    </row>
    <row r="15" spans="1:6" x14ac:dyDescent="0.2">
      <c r="A15" s="165"/>
      <c r="B15" s="31" t="s">
        <v>22</v>
      </c>
      <c r="C15" s="31" t="s">
        <v>23</v>
      </c>
      <c r="D15" s="30">
        <f>'1'!D15</f>
        <v>60</v>
      </c>
      <c r="E15" s="51"/>
      <c r="F15" s="30">
        <f t="shared" si="0"/>
        <v>0</v>
      </c>
    </row>
    <row r="16" spans="1:6" x14ac:dyDescent="0.2">
      <c r="A16" s="165"/>
      <c r="B16" s="42" t="s">
        <v>207</v>
      </c>
      <c r="C16" s="42" t="s">
        <v>208</v>
      </c>
      <c r="D16" s="30">
        <f>'1'!D16</f>
        <v>30</v>
      </c>
      <c r="E16" s="51"/>
      <c r="F16" s="30">
        <f t="shared" si="0"/>
        <v>0</v>
      </c>
    </row>
    <row r="17" spans="1:6" ht="12.75" customHeight="1" x14ac:dyDescent="0.2">
      <c r="A17" s="165"/>
      <c r="B17" s="51" t="s">
        <v>102</v>
      </c>
      <c r="C17" s="29" t="str">
        <f>IF(B17=MISC!B27,MISC!C27,IF(B17=MISC!B25,MISC!C25,IF(B17=MISC!#REF!,MISC!#REF!)))</f>
        <v>Reader Certified Cable w/ 2 RJ12 (6 pin) connectors 30 feet Plenum</v>
      </c>
      <c r="D17" s="30">
        <f>IF(B17=MISC!B25,MISC!D25,IF(B17=MISC!B27,MISC!D27,IF(B17=MISC!#REF!,MISC!#REF!)))</f>
        <v>25</v>
      </c>
      <c r="E17" s="52">
        <f>(SUM(E4:E10))+SUM(E12:E13)+SUM(E20:E22)</f>
        <v>0</v>
      </c>
      <c r="F17" s="30">
        <f t="shared" si="0"/>
        <v>0</v>
      </c>
    </row>
    <row r="18" spans="1:6" ht="12.75" customHeight="1" x14ac:dyDescent="0.2">
      <c r="A18" s="165"/>
      <c r="B18" s="65" t="s">
        <v>182</v>
      </c>
      <c r="C18" s="31" t="s">
        <v>24</v>
      </c>
      <c r="D18" s="30">
        <f>'1'!D18</f>
        <v>24</v>
      </c>
      <c r="E18" s="52">
        <f>E17</f>
        <v>0</v>
      </c>
      <c r="F18" s="30">
        <f t="shared" si="0"/>
        <v>0</v>
      </c>
    </row>
    <row r="19" spans="1:6" ht="12.75" customHeight="1" x14ac:dyDescent="0.2">
      <c r="A19" s="166"/>
      <c r="B19" s="74" t="s">
        <v>114</v>
      </c>
      <c r="C19" s="42" t="s">
        <v>115</v>
      </c>
      <c r="D19" s="30">
        <f>'1'!D19</f>
        <v>44</v>
      </c>
      <c r="E19" s="51"/>
      <c r="F19" s="30">
        <f t="shared" si="0"/>
        <v>0</v>
      </c>
    </row>
    <row r="20" spans="1:6" ht="12.75" customHeight="1" x14ac:dyDescent="0.2">
      <c r="A20" s="187" t="s">
        <v>44</v>
      </c>
      <c r="B20" s="81" t="s">
        <v>183</v>
      </c>
      <c r="C20" s="34" t="s">
        <v>46</v>
      </c>
      <c r="D20" s="64">
        <f>'1'!D20</f>
        <v>179</v>
      </c>
      <c r="E20" s="53"/>
      <c r="F20" s="28">
        <f t="shared" si="0"/>
        <v>0</v>
      </c>
    </row>
    <row r="21" spans="1:6" ht="12.75" customHeight="1" x14ac:dyDescent="0.2">
      <c r="A21" s="188"/>
      <c r="B21" s="81" t="s">
        <v>184</v>
      </c>
      <c r="C21" s="34" t="s">
        <v>47</v>
      </c>
      <c r="D21" s="64">
        <f>'1'!D21</f>
        <v>179</v>
      </c>
      <c r="E21" s="53"/>
      <c r="F21" s="28">
        <f t="shared" si="0"/>
        <v>0</v>
      </c>
    </row>
    <row r="22" spans="1:6" ht="12.75" customHeight="1" x14ac:dyDescent="0.2">
      <c r="A22" s="189" t="s">
        <v>45</v>
      </c>
      <c r="B22" s="29" t="s">
        <v>48</v>
      </c>
      <c r="C22" s="31" t="s">
        <v>49</v>
      </c>
      <c r="D22" s="30">
        <f>'1'!D22</f>
        <v>189</v>
      </c>
      <c r="E22" s="51"/>
      <c r="F22" s="30">
        <f t="shared" si="0"/>
        <v>0</v>
      </c>
    </row>
    <row r="23" spans="1:6" ht="12.75" customHeight="1" x14ac:dyDescent="0.2">
      <c r="A23" s="190"/>
      <c r="B23" s="29" t="s">
        <v>50</v>
      </c>
      <c r="C23" s="31" t="s">
        <v>51</v>
      </c>
      <c r="D23" s="30">
        <f>'1'!D23</f>
        <v>189</v>
      </c>
      <c r="E23" s="51"/>
      <c r="F23" s="30">
        <f t="shared" si="0"/>
        <v>0</v>
      </c>
    </row>
    <row r="24" spans="1:6" x14ac:dyDescent="0.2">
      <c r="A24" s="185" t="s">
        <v>43</v>
      </c>
      <c r="B24" s="24" t="s">
        <v>39</v>
      </c>
      <c r="C24" s="24" t="s">
        <v>40</v>
      </c>
      <c r="D24" s="64">
        <f>'1'!D24</f>
        <v>299</v>
      </c>
      <c r="E24" s="50"/>
      <c r="F24" s="2">
        <f t="shared" si="0"/>
        <v>0</v>
      </c>
    </row>
    <row r="25" spans="1:6" x14ac:dyDescent="0.2">
      <c r="A25" s="186"/>
      <c r="B25" s="105" t="s">
        <v>108</v>
      </c>
      <c r="C25" s="105" t="s">
        <v>109</v>
      </c>
      <c r="D25" s="64">
        <f>'1'!D25</f>
        <v>299</v>
      </c>
      <c r="E25" s="50"/>
      <c r="F25" s="2">
        <f t="shared" si="0"/>
        <v>0</v>
      </c>
    </row>
    <row r="26" spans="1:6" ht="15.75" x14ac:dyDescent="0.25">
      <c r="A26" s="151" t="s">
        <v>16</v>
      </c>
      <c r="B26" s="152"/>
      <c r="C26" s="152"/>
      <c r="D26" s="152"/>
      <c r="E26" s="153"/>
      <c r="F26" s="4">
        <f>SUM(F2:F25)</f>
        <v>0</v>
      </c>
    </row>
    <row r="29" spans="1:6" x14ac:dyDescent="0.2">
      <c r="B29" s="36" t="s">
        <v>52</v>
      </c>
      <c r="C29" s="37">
        <f>SUM(E4:E13)</f>
        <v>0</v>
      </c>
    </row>
    <row r="30" spans="1:6" x14ac:dyDescent="0.2">
      <c r="B30" s="36" t="s">
        <v>53</v>
      </c>
      <c r="C30" s="37">
        <f>(0.1*SUM(E4:E9))+(0.03*E10)+(0.075*E11)+(0.25*E12)+(0.075*SUM(E13:E13))+(0.06*E22)+(0.1*E23)+(0.125*E20)+(0.15*E21)</f>
        <v>0</v>
      </c>
    </row>
    <row r="31" spans="1:6" x14ac:dyDescent="0.2">
      <c r="B31" s="36" t="s">
        <v>54</v>
      </c>
      <c r="C31" s="35" t="str">
        <f>IF(OR(C30&lt;=((E24*10)+(E25*6)-1),C30=0),"OK","More Power")</f>
        <v>OK</v>
      </c>
    </row>
    <row r="32" spans="1:6" x14ac:dyDescent="0.2">
      <c r="B32" s="38" t="s">
        <v>55</v>
      </c>
      <c r="C32" s="40" t="str">
        <f>IF(IF(AND((E4+E5+E8+E9)=0,(E6+E7+E10+E12+E13+E20+E22)=0),0,(E6+E7+E10+E12+E13+E20+E22)/(E4+E5+E8+E9)&gt;15),"Too Many","OK")</f>
        <v>OK</v>
      </c>
    </row>
    <row r="33" spans="1:3" x14ac:dyDescent="0.2">
      <c r="A33" s="22"/>
      <c r="B33" s="71" t="s">
        <v>135</v>
      </c>
      <c r="C33" s="72" t="str">
        <f>IF(IF(AND(E6=0,E7=0),0,(E6+E7)/(E4+E5+E8+E9)&gt;7),"Too Many","OK")</f>
        <v>OK</v>
      </c>
    </row>
    <row r="34" spans="1:3" x14ac:dyDescent="0.2">
      <c r="A34" s="22"/>
      <c r="B34" s="22"/>
      <c r="C34" s="22"/>
    </row>
    <row r="35" spans="1:3" x14ac:dyDescent="0.2">
      <c r="A35" s="22"/>
      <c r="B35" s="22"/>
      <c r="C35" s="22"/>
    </row>
  </sheetData>
  <sheetProtection password="C4C4" sheet="1" objects="1" scenarios="1"/>
  <mergeCells count="10">
    <mergeCell ref="A26:E26"/>
    <mergeCell ref="A1:F1"/>
    <mergeCell ref="A4:A9"/>
    <mergeCell ref="A10:A11"/>
    <mergeCell ref="A12:A13"/>
    <mergeCell ref="A2:F2"/>
    <mergeCell ref="A14:A19"/>
    <mergeCell ref="A20:A21"/>
    <mergeCell ref="A22:A23"/>
    <mergeCell ref="A24:A25"/>
  </mergeCells>
  <phoneticPr fontId="1" type="noConversion"/>
  <conditionalFormatting sqref="C33">
    <cfRule type="cellIs" dxfId="46" priority="1" operator="equal">
      <formula>"OK"</formula>
    </cfRule>
    <cfRule type="cellIs" dxfId="45" priority="2" operator="equal">
      <formula>"Too Many"</formula>
    </cfRule>
  </conditionalFormatting>
  <conditionalFormatting sqref="C32">
    <cfRule type="cellIs" dxfId="44" priority="5" stopIfTrue="1" operator="equal">
      <formula>#DIV/0!</formula>
    </cfRule>
    <cfRule type="cellIs" dxfId="43" priority="6" stopIfTrue="1" operator="equal">
      <formula>"OK"</formula>
    </cfRule>
    <cfRule type="cellIs" dxfId="42" priority="7" stopIfTrue="1" operator="equal">
      <formula>"Too Many"</formula>
    </cfRule>
  </conditionalFormatting>
  <conditionalFormatting sqref="C31">
    <cfRule type="cellIs" dxfId="41" priority="3" stopIfTrue="1" operator="equal">
      <formula>"OK"</formula>
    </cfRule>
    <cfRule type="cellIs" dxfId="40" priority="4" stopIfTrue="1" operator="equal">
      <formula>"More Power"</formula>
    </cfRule>
  </conditionalFormatting>
  <pageMargins left="0.7" right="0.7" top="0.75" bottom="0.75" header="0.3" footer="0.3"/>
  <pageSetup scale="71" fitToHeight="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MISC!$B$27:$B$27</xm:f>
          </x14:formula1>
          <xm:sqref>B17</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F35"/>
  <sheetViews>
    <sheetView workbookViewId="0">
      <selection sqref="A1:F1"/>
    </sheetView>
  </sheetViews>
  <sheetFormatPr baseColWidth="10" defaultColWidth="9.140625" defaultRowHeight="12.75" x14ac:dyDescent="0.2"/>
  <cols>
    <col min="1" max="1" width="9.140625" bestFit="1" customWidth="1"/>
    <col min="2" max="2" width="14.85546875" bestFit="1" customWidth="1"/>
    <col min="3" max="3" width="66" customWidth="1"/>
    <col min="4" max="4" width="9.140625" style="3" bestFit="1"/>
    <col min="5" max="5" width="8.5703125" bestFit="1" customWidth="1"/>
    <col min="6" max="6" width="21.42578125" style="3" customWidth="1"/>
    <col min="8" max="8" width="17.42578125" bestFit="1" customWidth="1"/>
    <col min="9" max="9" width="8" bestFit="1" customWidth="1"/>
  </cols>
  <sheetData>
    <row r="1" spans="1:6" ht="18" x14ac:dyDescent="0.25">
      <c r="A1" s="160" t="str">
        <f>'Building Total'!C34</f>
        <v>Level 10</v>
      </c>
      <c r="B1" s="160"/>
      <c r="C1" s="160"/>
      <c r="D1" s="160"/>
      <c r="E1" s="160"/>
      <c r="F1" s="160"/>
    </row>
    <row r="2" spans="1:6" x14ac:dyDescent="0.2">
      <c r="A2" s="140" t="s">
        <v>9</v>
      </c>
      <c r="B2" s="141"/>
      <c r="C2" s="141"/>
      <c r="D2" s="141"/>
      <c r="E2" s="141"/>
      <c r="F2" s="142"/>
    </row>
    <row r="3" spans="1:6" ht="12.75" customHeight="1" x14ac:dyDescent="0.2">
      <c r="A3" s="104" t="s">
        <v>116</v>
      </c>
      <c r="B3" s="104" t="s">
        <v>117</v>
      </c>
      <c r="C3" s="104" t="s">
        <v>0</v>
      </c>
      <c r="D3" s="104" t="s">
        <v>118</v>
      </c>
      <c r="E3" s="104" t="s">
        <v>119</v>
      </c>
      <c r="F3" s="104" t="s">
        <v>3</v>
      </c>
    </row>
    <row r="4" spans="1:6" ht="12.75" customHeight="1" x14ac:dyDescent="0.2">
      <c r="A4" s="184" t="s">
        <v>37</v>
      </c>
      <c r="B4" s="103" t="s">
        <v>10</v>
      </c>
      <c r="C4" s="103" t="s">
        <v>30</v>
      </c>
      <c r="D4" s="2">
        <f>'1'!D4</f>
        <v>279</v>
      </c>
      <c r="E4" s="50"/>
      <c r="F4" s="2">
        <f t="shared" ref="F4:F25" si="0">E4*D4</f>
        <v>0</v>
      </c>
    </row>
    <row r="5" spans="1:6" x14ac:dyDescent="0.2">
      <c r="A5" s="185"/>
      <c r="B5" s="66" t="s">
        <v>179</v>
      </c>
      <c r="C5" s="103" t="s">
        <v>31</v>
      </c>
      <c r="D5" s="2">
        <f>'1'!D5</f>
        <v>279</v>
      </c>
      <c r="E5" s="50"/>
      <c r="F5" s="2">
        <f t="shared" si="0"/>
        <v>0</v>
      </c>
    </row>
    <row r="6" spans="1:6" x14ac:dyDescent="0.2">
      <c r="A6" s="185"/>
      <c r="B6" s="103" t="s">
        <v>32</v>
      </c>
      <c r="C6" s="103" t="s">
        <v>33</v>
      </c>
      <c r="D6" s="2">
        <f>'1'!D6</f>
        <v>279</v>
      </c>
      <c r="E6" s="50"/>
      <c r="F6" s="2">
        <f t="shared" si="0"/>
        <v>0</v>
      </c>
    </row>
    <row r="7" spans="1:6" x14ac:dyDescent="0.2">
      <c r="A7" s="185"/>
      <c r="B7" s="66" t="s">
        <v>180</v>
      </c>
      <c r="C7" s="103" t="s">
        <v>34</v>
      </c>
      <c r="D7" s="2">
        <f>'1'!D7</f>
        <v>279</v>
      </c>
      <c r="E7" s="50"/>
      <c r="F7" s="2">
        <f t="shared" si="0"/>
        <v>0</v>
      </c>
    </row>
    <row r="8" spans="1:6" x14ac:dyDescent="0.2">
      <c r="A8" s="185"/>
      <c r="B8" s="26" t="s">
        <v>28</v>
      </c>
      <c r="C8" s="25" t="s">
        <v>27</v>
      </c>
      <c r="D8" s="2">
        <f>'1'!D8</f>
        <v>427</v>
      </c>
      <c r="E8" s="50"/>
      <c r="F8" s="2">
        <f t="shared" si="0"/>
        <v>0</v>
      </c>
    </row>
    <row r="9" spans="1:6" ht="12.75" customHeight="1" x14ac:dyDescent="0.2">
      <c r="A9" s="186"/>
      <c r="B9" s="56" t="s">
        <v>181</v>
      </c>
      <c r="C9" s="25" t="s">
        <v>29</v>
      </c>
      <c r="D9" s="2">
        <f>'1'!D9</f>
        <v>482</v>
      </c>
      <c r="E9" s="50"/>
      <c r="F9" s="2">
        <f t="shared" si="0"/>
        <v>0</v>
      </c>
    </row>
    <row r="10" spans="1:6" ht="12.75" customHeight="1" x14ac:dyDescent="0.2">
      <c r="A10" s="164" t="s">
        <v>38</v>
      </c>
      <c r="B10" s="29" t="s">
        <v>12</v>
      </c>
      <c r="C10" s="29" t="s">
        <v>13</v>
      </c>
      <c r="D10" s="30">
        <f>'1'!D10</f>
        <v>149</v>
      </c>
      <c r="E10" s="51"/>
      <c r="F10" s="30">
        <f t="shared" si="0"/>
        <v>0</v>
      </c>
    </row>
    <row r="11" spans="1:6" ht="12.75" customHeight="1" x14ac:dyDescent="0.2">
      <c r="A11" s="166"/>
      <c r="B11" s="32" t="s">
        <v>35</v>
      </c>
      <c r="C11" s="33" t="s">
        <v>36</v>
      </c>
      <c r="D11" s="30">
        <f>'1'!D11</f>
        <v>149</v>
      </c>
      <c r="E11" s="51"/>
      <c r="F11" s="30">
        <f>E11*D11</f>
        <v>0</v>
      </c>
    </row>
    <row r="12" spans="1:6" ht="12.75" customHeight="1" x14ac:dyDescent="0.2">
      <c r="A12" s="184" t="s">
        <v>41</v>
      </c>
      <c r="B12" s="66" t="s">
        <v>205</v>
      </c>
      <c r="C12" s="66" t="s">
        <v>206</v>
      </c>
      <c r="D12" s="2">
        <f>'1'!D12</f>
        <v>215</v>
      </c>
      <c r="E12" s="50"/>
      <c r="F12" s="2">
        <f t="shared" si="0"/>
        <v>0</v>
      </c>
    </row>
    <row r="13" spans="1:6" x14ac:dyDescent="0.2">
      <c r="A13" s="185"/>
      <c r="B13" s="103" t="s">
        <v>25</v>
      </c>
      <c r="C13" s="103" t="s">
        <v>26</v>
      </c>
      <c r="D13" s="2">
        <f>'1'!D13</f>
        <v>185</v>
      </c>
      <c r="E13" s="50"/>
      <c r="F13" s="2">
        <f t="shared" si="0"/>
        <v>0</v>
      </c>
    </row>
    <row r="14" spans="1:6" ht="12.75" customHeight="1" x14ac:dyDescent="0.2">
      <c r="A14" s="164" t="s">
        <v>42</v>
      </c>
      <c r="B14" s="29" t="s">
        <v>17</v>
      </c>
      <c r="C14" s="29" t="s">
        <v>18</v>
      </c>
      <c r="D14" s="30">
        <f>'1'!D14</f>
        <v>30</v>
      </c>
      <c r="E14" s="52">
        <f>ROUNDUP((E4+E6+E8+E10+E11)/5,0)</f>
        <v>0</v>
      </c>
      <c r="F14" s="30">
        <f t="shared" si="0"/>
        <v>0</v>
      </c>
    </row>
    <row r="15" spans="1:6" x14ac:dyDescent="0.2">
      <c r="A15" s="165"/>
      <c r="B15" s="31" t="s">
        <v>22</v>
      </c>
      <c r="C15" s="31" t="s">
        <v>23</v>
      </c>
      <c r="D15" s="30">
        <f>'1'!D15</f>
        <v>60</v>
      </c>
      <c r="E15" s="51"/>
      <c r="F15" s="30">
        <f t="shared" si="0"/>
        <v>0</v>
      </c>
    </row>
    <row r="16" spans="1:6" x14ac:dyDescent="0.2">
      <c r="A16" s="165"/>
      <c r="B16" s="42" t="s">
        <v>207</v>
      </c>
      <c r="C16" s="42" t="s">
        <v>208</v>
      </c>
      <c r="D16" s="30">
        <f>'1'!D16</f>
        <v>30</v>
      </c>
      <c r="E16" s="51"/>
      <c r="F16" s="30">
        <f t="shared" si="0"/>
        <v>0</v>
      </c>
    </row>
    <row r="17" spans="1:6" ht="12.75" customHeight="1" x14ac:dyDescent="0.2">
      <c r="A17" s="165"/>
      <c r="B17" s="51" t="s">
        <v>102</v>
      </c>
      <c r="C17" s="29" t="str">
        <f>IF(B17=MISC!B27,MISC!C27,IF(B17=MISC!B25,MISC!C25,IF(B17=MISC!#REF!,MISC!#REF!)))</f>
        <v>Reader Certified Cable w/ 2 RJ12 (6 pin) connectors 30 feet Plenum</v>
      </c>
      <c r="D17" s="30">
        <f>IF(B17=MISC!B25,MISC!D25,IF(B17=MISC!B27,MISC!D27,IF(B17=MISC!#REF!,MISC!#REF!)))</f>
        <v>25</v>
      </c>
      <c r="E17" s="52">
        <f>(SUM(E4:E10))+SUM(E12:E13)+SUM(E20:E22)</f>
        <v>0</v>
      </c>
      <c r="F17" s="30">
        <f t="shared" si="0"/>
        <v>0</v>
      </c>
    </row>
    <row r="18" spans="1:6" ht="12.75" customHeight="1" x14ac:dyDescent="0.2">
      <c r="A18" s="165"/>
      <c r="B18" s="65" t="s">
        <v>182</v>
      </c>
      <c r="C18" s="31" t="s">
        <v>24</v>
      </c>
      <c r="D18" s="30">
        <f>'1'!D18</f>
        <v>24</v>
      </c>
      <c r="E18" s="52">
        <f>E17</f>
        <v>0</v>
      </c>
      <c r="F18" s="30">
        <f t="shared" si="0"/>
        <v>0</v>
      </c>
    </row>
    <row r="19" spans="1:6" ht="12.75" customHeight="1" x14ac:dyDescent="0.2">
      <c r="A19" s="166"/>
      <c r="B19" s="74" t="s">
        <v>114</v>
      </c>
      <c r="C19" s="42" t="s">
        <v>115</v>
      </c>
      <c r="D19" s="30">
        <f>'1'!D19</f>
        <v>44</v>
      </c>
      <c r="E19" s="51"/>
      <c r="F19" s="30">
        <f t="shared" si="0"/>
        <v>0</v>
      </c>
    </row>
    <row r="20" spans="1:6" ht="12.75" customHeight="1" x14ac:dyDescent="0.2">
      <c r="A20" s="187" t="s">
        <v>44</v>
      </c>
      <c r="B20" s="81" t="s">
        <v>183</v>
      </c>
      <c r="C20" s="34" t="s">
        <v>46</v>
      </c>
      <c r="D20" s="64">
        <f>'1'!D20</f>
        <v>179</v>
      </c>
      <c r="E20" s="53"/>
      <c r="F20" s="28">
        <f t="shared" si="0"/>
        <v>0</v>
      </c>
    </row>
    <row r="21" spans="1:6" ht="12.75" customHeight="1" x14ac:dyDescent="0.2">
      <c r="A21" s="188"/>
      <c r="B21" s="81" t="s">
        <v>184</v>
      </c>
      <c r="C21" s="34" t="s">
        <v>47</v>
      </c>
      <c r="D21" s="64">
        <f>'1'!D21</f>
        <v>179</v>
      </c>
      <c r="E21" s="53"/>
      <c r="F21" s="28">
        <f t="shared" si="0"/>
        <v>0</v>
      </c>
    </row>
    <row r="22" spans="1:6" ht="12.75" customHeight="1" x14ac:dyDescent="0.2">
      <c r="A22" s="189" t="s">
        <v>45</v>
      </c>
      <c r="B22" s="29" t="s">
        <v>48</v>
      </c>
      <c r="C22" s="31" t="s">
        <v>49</v>
      </c>
      <c r="D22" s="30">
        <f>'1'!D22</f>
        <v>189</v>
      </c>
      <c r="E22" s="51"/>
      <c r="F22" s="30">
        <f t="shared" si="0"/>
        <v>0</v>
      </c>
    </row>
    <row r="23" spans="1:6" ht="12.75" customHeight="1" x14ac:dyDescent="0.2">
      <c r="A23" s="190"/>
      <c r="B23" s="29" t="s">
        <v>50</v>
      </c>
      <c r="C23" s="31" t="s">
        <v>51</v>
      </c>
      <c r="D23" s="30">
        <f>'1'!D23</f>
        <v>189</v>
      </c>
      <c r="E23" s="51"/>
      <c r="F23" s="30">
        <f t="shared" si="0"/>
        <v>0</v>
      </c>
    </row>
    <row r="24" spans="1:6" x14ac:dyDescent="0.2">
      <c r="A24" s="185" t="s">
        <v>43</v>
      </c>
      <c r="B24" s="24" t="s">
        <v>39</v>
      </c>
      <c r="C24" s="24" t="s">
        <v>40</v>
      </c>
      <c r="D24" s="64">
        <f>'1'!D24</f>
        <v>299</v>
      </c>
      <c r="E24" s="50"/>
      <c r="F24" s="2">
        <f t="shared" si="0"/>
        <v>0</v>
      </c>
    </row>
    <row r="25" spans="1:6" x14ac:dyDescent="0.2">
      <c r="A25" s="186"/>
      <c r="B25" s="105" t="s">
        <v>108</v>
      </c>
      <c r="C25" s="105" t="s">
        <v>109</v>
      </c>
      <c r="D25" s="64">
        <f>'1'!D25</f>
        <v>299</v>
      </c>
      <c r="E25" s="50"/>
      <c r="F25" s="2">
        <f t="shared" si="0"/>
        <v>0</v>
      </c>
    </row>
    <row r="26" spans="1:6" ht="15.75" x14ac:dyDescent="0.25">
      <c r="A26" s="151" t="s">
        <v>16</v>
      </c>
      <c r="B26" s="152"/>
      <c r="C26" s="152"/>
      <c r="D26" s="152"/>
      <c r="E26" s="153"/>
      <c r="F26" s="4">
        <f>SUM(F2:F25)</f>
        <v>0</v>
      </c>
    </row>
    <row r="29" spans="1:6" x14ac:dyDescent="0.2">
      <c r="B29" s="36" t="s">
        <v>52</v>
      </c>
      <c r="C29" s="37">
        <f>SUM(E4:E13)</f>
        <v>0</v>
      </c>
    </row>
    <row r="30" spans="1:6" x14ac:dyDescent="0.2">
      <c r="B30" s="36" t="s">
        <v>53</v>
      </c>
      <c r="C30" s="37">
        <f>(0.1*SUM(E4:E9))+(0.03*E10)+(0.075*E11)+(0.25*E12)+(0.075*SUM(E13:E13))+(0.06*E22)+(0.1*E23)+(0.125*E20)+(0.15*E21)</f>
        <v>0</v>
      </c>
    </row>
    <row r="31" spans="1:6" x14ac:dyDescent="0.2">
      <c r="B31" s="36" t="s">
        <v>54</v>
      </c>
      <c r="C31" s="35" t="str">
        <f>IF(OR(C30&lt;=((E24*10)+(E25*6)-1),C30=0),"OK","More Power")</f>
        <v>OK</v>
      </c>
    </row>
    <row r="32" spans="1:6" x14ac:dyDescent="0.2">
      <c r="B32" s="38" t="s">
        <v>55</v>
      </c>
      <c r="C32" s="40" t="str">
        <f>IF(IF(AND((E4+E5+E8+E9)=0,(E6+E7+E10+E12+E13+E20+E22)=0),0,(E6+E7+E10+E12+E13+E20+E22)/(E4+E5+E8+E9)&gt;15),"Too Many","OK")</f>
        <v>OK</v>
      </c>
    </row>
    <row r="33" spans="1:3" x14ac:dyDescent="0.2">
      <c r="A33" s="22"/>
      <c r="B33" s="71" t="s">
        <v>135</v>
      </c>
      <c r="C33" s="72" t="str">
        <f>IF(IF(AND(E6=0,E7=0),0,(E6+E7)/(E4+E5+E8+E9)&gt;7),"Too Many","OK")</f>
        <v>OK</v>
      </c>
    </row>
    <row r="34" spans="1:3" x14ac:dyDescent="0.2">
      <c r="A34" s="22"/>
      <c r="B34" s="22"/>
      <c r="C34" s="22"/>
    </row>
    <row r="35" spans="1:3" x14ac:dyDescent="0.2">
      <c r="A35" s="22"/>
      <c r="B35" s="22"/>
      <c r="C35" s="22"/>
    </row>
  </sheetData>
  <sheetProtection password="C4C4" sheet="1" objects="1" scenarios="1"/>
  <mergeCells count="10">
    <mergeCell ref="A26:E26"/>
    <mergeCell ref="A1:F1"/>
    <mergeCell ref="A4:A9"/>
    <mergeCell ref="A10:A11"/>
    <mergeCell ref="A12:A13"/>
    <mergeCell ref="A2:F2"/>
    <mergeCell ref="A14:A19"/>
    <mergeCell ref="A20:A21"/>
    <mergeCell ref="A22:A23"/>
    <mergeCell ref="A24:A25"/>
  </mergeCells>
  <phoneticPr fontId="1" type="noConversion"/>
  <conditionalFormatting sqref="C33">
    <cfRule type="cellIs" dxfId="39" priority="1" operator="equal">
      <formula>"OK"</formula>
    </cfRule>
    <cfRule type="cellIs" dxfId="38" priority="2" operator="equal">
      <formula>"Too Many"</formula>
    </cfRule>
  </conditionalFormatting>
  <conditionalFormatting sqref="C32">
    <cfRule type="cellIs" dxfId="37" priority="5" stopIfTrue="1" operator="equal">
      <formula>#DIV/0!</formula>
    </cfRule>
    <cfRule type="cellIs" dxfId="36" priority="6" stopIfTrue="1" operator="equal">
      <formula>"OK"</formula>
    </cfRule>
    <cfRule type="cellIs" dxfId="35" priority="7" stopIfTrue="1" operator="equal">
      <formula>"Too Many"</formula>
    </cfRule>
  </conditionalFormatting>
  <conditionalFormatting sqref="C31">
    <cfRule type="cellIs" dxfId="34" priority="3" stopIfTrue="1" operator="equal">
      <formula>"OK"</formula>
    </cfRule>
    <cfRule type="cellIs" dxfId="33" priority="4" stopIfTrue="1" operator="equal">
      <formula>"More Power"</formula>
    </cfRule>
  </conditionalFormatting>
  <pageMargins left="0.7" right="0.7" top="0.75" bottom="0.75" header="0.3" footer="0.3"/>
  <pageSetup scale="71" fitToHeight="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MISC!$B$27:$B$27</xm:f>
          </x14:formula1>
          <xm:sqref>B17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F35"/>
  <sheetViews>
    <sheetView workbookViewId="0">
      <selection sqref="A1:F1"/>
    </sheetView>
  </sheetViews>
  <sheetFormatPr baseColWidth="10" defaultColWidth="9.140625" defaultRowHeight="12.75" x14ac:dyDescent="0.2"/>
  <cols>
    <col min="1" max="1" width="9.140625" bestFit="1" customWidth="1"/>
    <col min="2" max="2" width="14.85546875" bestFit="1" customWidth="1"/>
    <col min="3" max="3" width="66" customWidth="1"/>
    <col min="4" max="4" width="9.140625" style="3" bestFit="1"/>
    <col min="5" max="5" width="8.5703125" bestFit="1" customWidth="1"/>
    <col min="6" max="6" width="21.42578125" style="3" customWidth="1"/>
    <col min="8" max="8" width="17.42578125" bestFit="1" customWidth="1"/>
    <col min="9" max="9" width="8" bestFit="1" customWidth="1"/>
  </cols>
  <sheetData>
    <row r="1" spans="1:6" ht="18" x14ac:dyDescent="0.25">
      <c r="A1" s="160" t="str">
        <f>'Building Total'!C35</f>
        <v>Level 11</v>
      </c>
      <c r="B1" s="160"/>
      <c r="C1" s="160"/>
      <c r="D1" s="160"/>
      <c r="E1" s="160"/>
      <c r="F1" s="160"/>
    </row>
    <row r="2" spans="1:6" x14ac:dyDescent="0.2">
      <c r="A2" s="140" t="s">
        <v>9</v>
      </c>
      <c r="B2" s="141"/>
      <c r="C2" s="141"/>
      <c r="D2" s="141"/>
      <c r="E2" s="141"/>
      <c r="F2" s="142"/>
    </row>
    <row r="3" spans="1:6" ht="12.75" customHeight="1" x14ac:dyDescent="0.2">
      <c r="A3" s="104" t="s">
        <v>116</v>
      </c>
      <c r="B3" s="104" t="s">
        <v>117</v>
      </c>
      <c r="C3" s="104" t="s">
        <v>0</v>
      </c>
      <c r="D3" s="104" t="s">
        <v>118</v>
      </c>
      <c r="E3" s="104" t="s">
        <v>119</v>
      </c>
      <c r="F3" s="104" t="s">
        <v>3</v>
      </c>
    </row>
    <row r="4" spans="1:6" ht="12.75" customHeight="1" x14ac:dyDescent="0.2">
      <c r="A4" s="184" t="s">
        <v>37</v>
      </c>
      <c r="B4" s="103" t="s">
        <v>10</v>
      </c>
      <c r="C4" s="103" t="s">
        <v>30</v>
      </c>
      <c r="D4" s="2">
        <f>'1'!D4</f>
        <v>279</v>
      </c>
      <c r="E4" s="50"/>
      <c r="F4" s="2">
        <f t="shared" ref="F4:F25" si="0">E4*D4</f>
        <v>0</v>
      </c>
    </row>
    <row r="5" spans="1:6" x14ac:dyDescent="0.2">
      <c r="A5" s="185"/>
      <c r="B5" s="66" t="s">
        <v>179</v>
      </c>
      <c r="C5" s="103" t="s">
        <v>31</v>
      </c>
      <c r="D5" s="2">
        <f>'1'!D5</f>
        <v>279</v>
      </c>
      <c r="E5" s="50"/>
      <c r="F5" s="2">
        <f t="shared" si="0"/>
        <v>0</v>
      </c>
    </row>
    <row r="6" spans="1:6" x14ac:dyDescent="0.2">
      <c r="A6" s="185"/>
      <c r="B6" s="103" t="s">
        <v>32</v>
      </c>
      <c r="C6" s="103" t="s">
        <v>33</v>
      </c>
      <c r="D6" s="2">
        <f>'1'!D6</f>
        <v>279</v>
      </c>
      <c r="E6" s="50"/>
      <c r="F6" s="2">
        <f t="shared" si="0"/>
        <v>0</v>
      </c>
    </row>
    <row r="7" spans="1:6" x14ac:dyDescent="0.2">
      <c r="A7" s="185"/>
      <c r="B7" s="66" t="s">
        <v>180</v>
      </c>
      <c r="C7" s="103" t="s">
        <v>34</v>
      </c>
      <c r="D7" s="2">
        <f>'1'!D7</f>
        <v>279</v>
      </c>
      <c r="E7" s="50"/>
      <c r="F7" s="2">
        <f t="shared" si="0"/>
        <v>0</v>
      </c>
    </row>
    <row r="8" spans="1:6" x14ac:dyDescent="0.2">
      <c r="A8" s="185"/>
      <c r="B8" s="26" t="s">
        <v>28</v>
      </c>
      <c r="C8" s="25" t="s">
        <v>27</v>
      </c>
      <c r="D8" s="2">
        <f>'1'!D8</f>
        <v>427</v>
      </c>
      <c r="E8" s="50"/>
      <c r="F8" s="2">
        <f t="shared" si="0"/>
        <v>0</v>
      </c>
    </row>
    <row r="9" spans="1:6" ht="12.75" customHeight="1" x14ac:dyDescent="0.2">
      <c r="A9" s="186"/>
      <c r="B9" s="56" t="s">
        <v>181</v>
      </c>
      <c r="C9" s="25" t="s">
        <v>29</v>
      </c>
      <c r="D9" s="2">
        <f>'1'!D9</f>
        <v>482</v>
      </c>
      <c r="E9" s="50"/>
      <c r="F9" s="2">
        <f t="shared" si="0"/>
        <v>0</v>
      </c>
    </row>
    <row r="10" spans="1:6" ht="12.75" customHeight="1" x14ac:dyDescent="0.2">
      <c r="A10" s="164" t="s">
        <v>38</v>
      </c>
      <c r="B10" s="29" t="s">
        <v>12</v>
      </c>
      <c r="C10" s="29" t="s">
        <v>13</v>
      </c>
      <c r="D10" s="30">
        <f>'1'!D10</f>
        <v>149</v>
      </c>
      <c r="E10" s="51"/>
      <c r="F10" s="30">
        <f t="shared" si="0"/>
        <v>0</v>
      </c>
    </row>
    <row r="11" spans="1:6" ht="12.75" customHeight="1" x14ac:dyDescent="0.2">
      <c r="A11" s="166"/>
      <c r="B11" s="32" t="s">
        <v>35</v>
      </c>
      <c r="C11" s="33" t="s">
        <v>36</v>
      </c>
      <c r="D11" s="30">
        <f>'1'!D11</f>
        <v>149</v>
      </c>
      <c r="E11" s="51"/>
      <c r="F11" s="30">
        <f>E11*D11</f>
        <v>0</v>
      </c>
    </row>
    <row r="12" spans="1:6" ht="12.75" customHeight="1" x14ac:dyDescent="0.2">
      <c r="A12" s="184" t="s">
        <v>41</v>
      </c>
      <c r="B12" s="66" t="s">
        <v>205</v>
      </c>
      <c r="C12" s="66" t="s">
        <v>206</v>
      </c>
      <c r="D12" s="2">
        <f>'1'!D12</f>
        <v>215</v>
      </c>
      <c r="E12" s="50"/>
      <c r="F12" s="2">
        <f t="shared" si="0"/>
        <v>0</v>
      </c>
    </row>
    <row r="13" spans="1:6" x14ac:dyDescent="0.2">
      <c r="A13" s="185"/>
      <c r="B13" s="103" t="s">
        <v>25</v>
      </c>
      <c r="C13" s="103" t="s">
        <v>26</v>
      </c>
      <c r="D13" s="2">
        <f>'1'!D13</f>
        <v>185</v>
      </c>
      <c r="E13" s="50"/>
      <c r="F13" s="2">
        <f t="shared" si="0"/>
        <v>0</v>
      </c>
    </row>
    <row r="14" spans="1:6" ht="12.75" customHeight="1" x14ac:dyDescent="0.2">
      <c r="A14" s="164" t="s">
        <v>42</v>
      </c>
      <c r="B14" s="29" t="s">
        <v>17</v>
      </c>
      <c r="C14" s="29" t="s">
        <v>18</v>
      </c>
      <c r="D14" s="30">
        <f>'1'!D14</f>
        <v>30</v>
      </c>
      <c r="E14" s="52">
        <f>ROUNDUP((E4+E6+E8+E10+E11)/5,0)</f>
        <v>0</v>
      </c>
      <c r="F14" s="30">
        <f t="shared" si="0"/>
        <v>0</v>
      </c>
    </row>
    <row r="15" spans="1:6" x14ac:dyDescent="0.2">
      <c r="A15" s="165"/>
      <c r="B15" s="31" t="s">
        <v>22</v>
      </c>
      <c r="C15" s="31" t="s">
        <v>23</v>
      </c>
      <c r="D15" s="30">
        <f>'1'!D15</f>
        <v>60</v>
      </c>
      <c r="E15" s="51"/>
      <c r="F15" s="30">
        <f t="shared" si="0"/>
        <v>0</v>
      </c>
    </row>
    <row r="16" spans="1:6" x14ac:dyDescent="0.2">
      <c r="A16" s="165"/>
      <c r="B16" s="42" t="s">
        <v>207</v>
      </c>
      <c r="C16" s="42" t="s">
        <v>208</v>
      </c>
      <c r="D16" s="30">
        <f>'1'!D16</f>
        <v>30</v>
      </c>
      <c r="E16" s="51"/>
      <c r="F16" s="30">
        <f t="shared" si="0"/>
        <v>0</v>
      </c>
    </row>
    <row r="17" spans="1:6" ht="12.75" customHeight="1" x14ac:dyDescent="0.2">
      <c r="A17" s="165"/>
      <c r="B17" s="51" t="s">
        <v>102</v>
      </c>
      <c r="C17" s="29" t="str">
        <f>IF(B17=MISC!B27,MISC!C27,IF(B17=MISC!B25,MISC!C25,IF(B17=MISC!#REF!,MISC!#REF!)))</f>
        <v>Reader Certified Cable w/ 2 RJ12 (6 pin) connectors 30 feet Plenum</v>
      </c>
      <c r="D17" s="30">
        <f>IF(B17=MISC!B25,MISC!D25,IF(B17=MISC!B27,MISC!D27,IF(B17=MISC!#REF!,MISC!#REF!)))</f>
        <v>25</v>
      </c>
      <c r="E17" s="52">
        <f>(SUM(E4:E10))+SUM(E12:E13)+SUM(E20:E22)</f>
        <v>0</v>
      </c>
      <c r="F17" s="30">
        <f t="shared" si="0"/>
        <v>0</v>
      </c>
    </row>
    <row r="18" spans="1:6" ht="12.75" customHeight="1" x14ac:dyDescent="0.2">
      <c r="A18" s="165"/>
      <c r="B18" s="65" t="s">
        <v>182</v>
      </c>
      <c r="C18" s="31" t="s">
        <v>24</v>
      </c>
      <c r="D18" s="30">
        <f>'1'!D18</f>
        <v>24</v>
      </c>
      <c r="E18" s="52">
        <f>E17</f>
        <v>0</v>
      </c>
      <c r="F18" s="30">
        <f t="shared" si="0"/>
        <v>0</v>
      </c>
    </row>
    <row r="19" spans="1:6" ht="12.75" customHeight="1" x14ac:dyDescent="0.2">
      <c r="A19" s="166"/>
      <c r="B19" s="74" t="s">
        <v>114</v>
      </c>
      <c r="C19" s="42" t="s">
        <v>115</v>
      </c>
      <c r="D19" s="30">
        <f>'1'!D19</f>
        <v>44</v>
      </c>
      <c r="E19" s="51"/>
      <c r="F19" s="30">
        <f t="shared" si="0"/>
        <v>0</v>
      </c>
    </row>
    <row r="20" spans="1:6" ht="12.75" customHeight="1" x14ac:dyDescent="0.2">
      <c r="A20" s="187" t="s">
        <v>44</v>
      </c>
      <c r="B20" s="81" t="s">
        <v>183</v>
      </c>
      <c r="C20" s="34" t="s">
        <v>46</v>
      </c>
      <c r="D20" s="64">
        <f>'1'!D20</f>
        <v>179</v>
      </c>
      <c r="E20" s="53"/>
      <c r="F20" s="28">
        <f t="shared" si="0"/>
        <v>0</v>
      </c>
    </row>
    <row r="21" spans="1:6" ht="12.75" customHeight="1" x14ac:dyDescent="0.2">
      <c r="A21" s="188"/>
      <c r="B21" s="81" t="s">
        <v>184</v>
      </c>
      <c r="C21" s="34" t="s">
        <v>47</v>
      </c>
      <c r="D21" s="64">
        <f>'1'!D21</f>
        <v>179</v>
      </c>
      <c r="E21" s="53"/>
      <c r="F21" s="28">
        <f t="shared" si="0"/>
        <v>0</v>
      </c>
    </row>
    <row r="22" spans="1:6" ht="12.75" customHeight="1" x14ac:dyDescent="0.2">
      <c r="A22" s="189" t="s">
        <v>45</v>
      </c>
      <c r="B22" s="29" t="s">
        <v>48</v>
      </c>
      <c r="C22" s="31" t="s">
        <v>49</v>
      </c>
      <c r="D22" s="30">
        <f>'1'!D22</f>
        <v>189</v>
      </c>
      <c r="E22" s="51"/>
      <c r="F22" s="30">
        <f t="shared" si="0"/>
        <v>0</v>
      </c>
    </row>
    <row r="23" spans="1:6" ht="12.75" customHeight="1" x14ac:dyDescent="0.2">
      <c r="A23" s="190"/>
      <c r="B23" s="29" t="s">
        <v>50</v>
      </c>
      <c r="C23" s="31" t="s">
        <v>51</v>
      </c>
      <c r="D23" s="30">
        <f>'1'!D23</f>
        <v>189</v>
      </c>
      <c r="E23" s="51"/>
      <c r="F23" s="30">
        <f t="shared" si="0"/>
        <v>0</v>
      </c>
    </row>
    <row r="24" spans="1:6" x14ac:dyDescent="0.2">
      <c r="A24" s="185" t="s">
        <v>43</v>
      </c>
      <c r="B24" s="24" t="s">
        <v>39</v>
      </c>
      <c r="C24" s="24" t="s">
        <v>40</v>
      </c>
      <c r="D24" s="64">
        <f>'1'!D24</f>
        <v>299</v>
      </c>
      <c r="E24" s="50"/>
      <c r="F24" s="2">
        <f t="shared" si="0"/>
        <v>0</v>
      </c>
    </row>
    <row r="25" spans="1:6" x14ac:dyDescent="0.2">
      <c r="A25" s="186"/>
      <c r="B25" s="105" t="s">
        <v>108</v>
      </c>
      <c r="C25" s="105" t="s">
        <v>109</v>
      </c>
      <c r="D25" s="64">
        <f>'1'!D25</f>
        <v>299</v>
      </c>
      <c r="E25" s="50"/>
      <c r="F25" s="2">
        <f t="shared" si="0"/>
        <v>0</v>
      </c>
    </row>
    <row r="26" spans="1:6" ht="15.75" x14ac:dyDescent="0.25">
      <c r="A26" s="151" t="s">
        <v>16</v>
      </c>
      <c r="B26" s="152"/>
      <c r="C26" s="152"/>
      <c r="D26" s="152"/>
      <c r="E26" s="153"/>
      <c r="F26" s="4">
        <f>SUM(F2:F25)</f>
        <v>0</v>
      </c>
    </row>
    <row r="29" spans="1:6" x14ac:dyDescent="0.2">
      <c r="B29" s="36" t="s">
        <v>52</v>
      </c>
      <c r="C29" s="37">
        <f>SUM(E4:E13)</f>
        <v>0</v>
      </c>
    </row>
    <row r="30" spans="1:6" x14ac:dyDescent="0.2">
      <c r="B30" s="36" t="s">
        <v>53</v>
      </c>
      <c r="C30" s="37">
        <f>(0.1*SUM(E4:E9))+(0.03*E10)+(0.075*E11)+(0.25*E12)+(0.075*SUM(E13:E13))+(0.06*E22)+(0.1*E23)+(0.125*E20)+(0.15*E21)</f>
        <v>0</v>
      </c>
    </row>
    <row r="31" spans="1:6" x14ac:dyDescent="0.2">
      <c r="B31" s="36" t="s">
        <v>54</v>
      </c>
      <c r="C31" s="35" t="str">
        <f>IF(OR(C30&lt;=((E24*10)+(E25*6)-1),C30=0),"OK","More Power")</f>
        <v>OK</v>
      </c>
    </row>
    <row r="32" spans="1:6" x14ac:dyDescent="0.2">
      <c r="B32" s="38" t="s">
        <v>55</v>
      </c>
      <c r="C32" s="40" t="str">
        <f>IF(IF(AND((E4+E5+E8+E9)=0,(E6+E7+E10+E12+E13+E20+E22)=0),0,(E6+E7+E10+E12+E13+E20+E22)/(E4+E5+E8+E9)&gt;15),"Too Many","OK")</f>
        <v>OK</v>
      </c>
    </row>
    <row r="33" spans="1:3" x14ac:dyDescent="0.2">
      <c r="A33" s="22"/>
      <c r="B33" s="71" t="s">
        <v>135</v>
      </c>
      <c r="C33" s="72" t="str">
        <f>IF(IF(AND(E6=0,E7=0),0,(E6+E7)/(E4+E5+E8+E9)&gt;7),"Too Many","OK")</f>
        <v>OK</v>
      </c>
    </row>
    <row r="34" spans="1:3" x14ac:dyDescent="0.2">
      <c r="A34" s="22"/>
      <c r="B34" s="22"/>
      <c r="C34" s="22"/>
    </row>
    <row r="35" spans="1:3" x14ac:dyDescent="0.2">
      <c r="A35" s="22"/>
      <c r="B35" s="22"/>
      <c r="C35" s="22"/>
    </row>
  </sheetData>
  <sheetProtection password="C4C4" sheet="1" objects="1" scenarios="1"/>
  <mergeCells count="10">
    <mergeCell ref="A26:E26"/>
    <mergeCell ref="A1:F1"/>
    <mergeCell ref="A4:A9"/>
    <mergeCell ref="A10:A11"/>
    <mergeCell ref="A12:A13"/>
    <mergeCell ref="A2:F2"/>
    <mergeCell ref="A14:A19"/>
    <mergeCell ref="A20:A21"/>
    <mergeCell ref="A22:A23"/>
    <mergeCell ref="A24:A25"/>
  </mergeCells>
  <phoneticPr fontId="1" type="noConversion"/>
  <conditionalFormatting sqref="C33">
    <cfRule type="cellIs" dxfId="32" priority="1" operator="equal">
      <formula>"OK"</formula>
    </cfRule>
    <cfRule type="cellIs" dxfId="31" priority="2" operator="equal">
      <formula>"Too Many"</formula>
    </cfRule>
  </conditionalFormatting>
  <conditionalFormatting sqref="C32">
    <cfRule type="cellIs" dxfId="30" priority="5" stopIfTrue="1" operator="equal">
      <formula>#DIV/0!</formula>
    </cfRule>
    <cfRule type="cellIs" dxfId="29" priority="6" stopIfTrue="1" operator="equal">
      <formula>"OK"</formula>
    </cfRule>
    <cfRule type="cellIs" dxfId="28" priority="7" stopIfTrue="1" operator="equal">
      <formula>"Too Many"</formula>
    </cfRule>
  </conditionalFormatting>
  <conditionalFormatting sqref="C31">
    <cfRule type="cellIs" dxfId="27" priority="3" stopIfTrue="1" operator="equal">
      <formula>"OK"</formula>
    </cfRule>
    <cfRule type="cellIs" dxfId="26" priority="4" stopIfTrue="1" operator="equal">
      <formula>"More Power"</formula>
    </cfRule>
  </conditionalFormatting>
  <pageMargins left="0.7" right="0.7" top="0.75" bottom="0.75" header="0.3" footer="0.3"/>
  <pageSetup scale="71" fitToHeight="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MISC!$B$27:$B$27</xm:f>
          </x14:formula1>
          <xm:sqref>B17</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F35"/>
  <sheetViews>
    <sheetView workbookViewId="0">
      <selection sqref="A1:F1"/>
    </sheetView>
  </sheetViews>
  <sheetFormatPr baseColWidth="10" defaultColWidth="9.140625" defaultRowHeight="12.75" x14ac:dyDescent="0.2"/>
  <cols>
    <col min="1" max="1" width="9.140625" bestFit="1" customWidth="1"/>
    <col min="2" max="2" width="14.85546875" bestFit="1" customWidth="1"/>
    <col min="3" max="3" width="66" customWidth="1"/>
    <col min="4" max="4" width="9.140625" style="3" bestFit="1"/>
    <col min="5" max="5" width="8.5703125" bestFit="1" customWidth="1"/>
    <col min="6" max="6" width="21.42578125" style="3" customWidth="1"/>
    <col min="8" max="8" width="17.42578125" bestFit="1" customWidth="1"/>
    <col min="9" max="9" width="8" bestFit="1" customWidth="1"/>
  </cols>
  <sheetData>
    <row r="1" spans="1:6" ht="18" x14ac:dyDescent="0.25">
      <c r="A1" s="160" t="str">
        <f>'Building Total'!C36</f>
        <v>Level 12</v>
      </c>
      <c r="B1" s="160"/>
      <c r="C1" s="160"/>
      <c r="D1" s="160"/>
      <c r="E1" s="160"/>
      <c r="F1" s="160"/>
    </row>
    <row r="2" spans="1:6" x14ac:dyDescent="0.2">
      <c r="A2" s="140" t="s">
        <v>9</v>
      </c>
      <c r="B2" s="141"/>
      <c r="C2" s="141"/>
      <c r="D2" s="141"/>
      <c r="E2" s="141"/>
      <c r="F2" s="142"/>
    </row>
    <row r="3" spans="1:6" ht="12.75" customHeight="1" x14ac:dyDescent="0.2">
      <c r="A3" s="104" t="s">
        <v>116</v>
      </c>
      <c r="B3" s="104" t="s">
        <v>117</v>
      </c>
      <c r="C3" s="104" t="s">
        <v>0</v>
      </c>
      <c r="D3" s="104" t="s">
        <v>118</v>
      </c>
      <c r="E3" s="104" t="s">
        <v>119</v>
      </c>
      <c r="F3" s="104" t="s">
        <v>3</v>
      </c>
    </row>
    <row r="4" spans="1:6" ht="12.75" customHeight="1" x14ac:dyDescent="0.2">
      <c r="A4" s="184" t="s">
        <v>37</v>
      </c>
      <c r="B4" s="103" t="s">
        <v>10</v>
      </c>
      <c r="C4" s="103" t="s">
        <v>30</v>
      </c>
      <c r="D4" s="2">
        <f>'1'!D4</f>
        <v>279</v>
      </c>
      <c r="E4" s="50"/>
      <c r="F4" s="2">
        <f t="shared" ref="F4:F25" si="0">E4*D4</f>
        <v>0</v>
      </c>
    </row>
    <row r="5" spans="1:6" x14ac:dyDescent="0.2">
      <c r="A5" s="185"/>
      <c r="B5" s="66" t="s">
        <v>179</v>
      </c>
      <c r="C5" s="103" t="s">
        <v>31</v>
      </c>
      <c r="D5" s="2">
        <f>'1'!D5</f>
        <v>279</v>
      </c>
      <c r="E5" s="50"/>
      <c r="F5" s="2">
        <f t="shared" si="0"/>
        <v>0</v>
      </c>
    </row>
    <row r="6" spans="1:6" x14ac:dyDescent="0.2">
      <c r="A6" s="185"/>
      <c r="B6" s="103" t="s">
        <v>32</v>
      </c>
      <c r="C6" s="103" t="s">
        <v>33</v>
      </c>
      <c r="D6" s="2">
        <f>'1'!D6</f>
        <v>279</v>
      </c>
      <c r="E6" s="50"/>
      <c r="F6" s="2">
        <f t="shared" si="0"/>
        <v>0</v>
      </c>
    </row>
    <row r="7" spans="1:6" x14ac:dyDescent="0.2">
      <c r="A7" s="185"/>
      <c r="B7" s="66" t="s">
        <v>180</v>
      </c>
      <c r="C7" s="103" t="s">
        <v>34</v>
      </c>
      <c r="D7" s="2">
        <f>'1'!D7</f>
        <v>279</v>
      </c>
      <c r="E7" s="50"/>
      <c r="F7" s="2">
        <f t="shared" si="0"/>
        <v>0</v>
      </c>
    </row>
    <row r="8" spans="1:6" x14ac:dyDescent="0.2">
      <c r="A8" s="185"/>
      <c r="B8" s="26" t="s">
        <v>28</v>
      </c>
      <c r="C8" s="25" t="s">
        <v>27</v>
      </c>
      <c r="D8" s="2">
        <f>'1'!D8</f>
        <v>427</v>
      </c>
      <c r="E8" s="50"/>
      <c r="F8" s="2">
        <f t="shared" si="0"/>
        <v>0</v>
      </c>
    </row>
    <row r="9" spans="1:6" ht="12.75" customHeight="1" x14ac:dyDescent="0.2">
      <c r="A9" s="186"/>
      <c r="B9" s="56" t="s">
        <v>181</v>
      </c>
      <c r="C9" s="25" t="s">
        <v>29</v>
      </c>
      <c r="D9" s="2">
        <f>'1'!D9</f>
        <v>482</v>
      </c>
      <c r="E9" s="50"/>
      <c r="F9" s="2">
        <f t="shared" si="0"/>
        <v>0</v>
      </c>
    </row>
    <row r="10" spans="1:6" ht="12.75" customHeight="1" x14ac:dyDescent="0.2">
      <c r="A10" s="164" t="s">
        <v>38</v>
      </c>
      <c r="B10" s="29" t="s">
        <v>12</v>
      </c>
      <c r="C10" s="29" t="s">
        <v>13</v>
      </c>
      <c r="D10" s="30">
        <f>'1'!D10</f>
        <v>149</v>
      </c>
      <c r="E10" s="51"/>
      <c r="F10" s="30">
        <f t="shared" si="0"/>
        <v>0</v>
      </c>
    </row>
    <row r="11" spans="1:6" ht="12.75" customHeight="1" x14ac:dyDescent="0.2">
      <c r="A11" s="166"/>
      <c r="B11" s="32" t="s">
        <v>35</v>
      </c>
      <c r="C11" s="33" t="s">
        <v>36</v>
      </c>
      <c r="D11" s="30">
        <f>'1'!D11</f>
        <v>149</v>
      </c>
      <c r="E11" s="51"/>
      <c r="F11" s="30">
        <f>E11*D11</f>
        <v>0</v>
      </c>
    </row>
    <row r="12" spans="1:6" ht="12.75" customHeight="1" x14ac:dyDescent="0.2">
      <c r="A12" s="184" t="s">
        <v>41</v>
      </c>
      <c r="B12" s="66" t="s">
        <v>205</v>
      </c>
      <c r="C12" s="66" t="s">
        <v>206</v>
      </c>
      <c r="D12" s="2">
        <f>'1'!D12</f>
        <v>215</v>
      </c>
      <c r="E12" s="50"/>
      <c r="F12" s="2">
        <f t="shared" si="0"/>
        <v>0</v>
      </c>
    </row>
    <row r="13" spans="1:6" x14ac:dyDescent="0.2">
      <c r="A13" s="185"/>
      <c r="B13" s="103" t="s">
        <v>25</v>
      </c>
      <c r="C13" s="103" t="s">
        <v>26</v>
      </c>
      <c r="D13" s="2">
        <f>'1'!D13</f>
        <v>185</v>
      </c>
      <c r="E13" s="50"/>
      <c r="F13" s="2">
        <f t="shared" si="0"/>
        <v>0</v>
      </c>
    </row>
    <row r="14" spans="1:6" ht="12.75" customHeight="1" x14ac:dyDescent="0.2">
      <c r="A14" s="164" t="s">
        <v>42</v>
      </c>
      <c r="B14" s="29" t="s">
        <v>17</v>
      </c>
      <c r="C14" s="29" t="s">
        <v>18</v>
      </c>
      <c r="D14" s="30">
        <f>'1'!D14</f>
        <v>30</v>
      </c>
      <c r="E14" s="52">
        <f>ROUNDUP((E4+E6+E8+E10+E11)/5,0)</f>
        <v>0</v>
      </c>
      <c r="F14" s="30">
        <f t="shared" si="0"/>
        <v>0</v>
      </c>
    </row>
    <row r="15" spans="1:6" x14ac:dyDescent="0.2">
      <c r="A15" s="165"/>
      <c r="B15" s="31" t="s">
        <v>22</v>
      </c>
      <c r="C15" s="31" t="s">
        <v>23</v>
      </c>
      <c r="D15" s="30">
        <f>'1'!D15</f>
        <v>60</v>
      </c>
      <c r="E15" s="51"/>
      <c r="F15" s="30">
        <f t="shared" si="0"/>
        <v>0</v>
      </c>
    </row>
    <row r="16" spans="1:6" x14ac:dyDescent="0.2">
      <c r="A16" s="165"/>
      <c r="B16" s="42" t="s">
        <v>207</v>
      </c>
      <c r="C16" s="42" t="s">
        <v>208</v>
      </c>
      <c r="D16" s="30">
        <f>'1'!D16</f>
        <v>30</v>
      </c>
      <c r="E16" s="51"/>
      <c r="F16" s="30">
        <f t="shared" si="0"/>
        <v>0</v>
      </c>
    </row>
    <row r="17" spans="1:6" ht="12.75" customHeight="1" x14ac:dyDescent="0.2">
      <c r="A17" s="165"/>
      <c r="B17" s="51" t="s">
        <v>102</v>
      </c>
      <c r="C17" s="29" t="str">
        <f>IF(B17=MISC!B27,MISC!C27,IF(B17=MISC!B25,MISC!C25,IF(B17=MISC!#REF!,MISC!#REF!)))</f>
        <v>Reader Certified Cable w/ 2 RJ12 (6 pin) connectors 30 feet Plenum</v>
      </c>
      <c r="D17" s="30">
        <f>IF(B17=MISC!B25,MISC!D25,IF(B17=MISC!B27,MISC!D27,IF(B17=MISC!#REF!,MISC!#REF!)))</f>
        <v>25</v>
      </c>
      <c r="E17" s="52">
        <f>(SUM(E4:E10))+SUM(E12:E13)+SUM(E20:E22)</f>
        <v>0</v>
      </c>
      <c r="F17" s="30">
        <f t="shared" si="0"/>
        <v>0</v>
      </c>
    </row>
    <row r="18" spans="1:6" ht="12.75" customHeight="1" x14ac:dyDescent="0.2">
      <c r="A18" s="165"/>
      <c r="B18" s="65" t="s">
        <v>182</v>
      </c>
      <c r="C18" s="31" t="s">
        <v>24</v>
      </c>
      <c r="D18" s="30">
        <f>'1'!D18</f>
        <v>24</v>
      </c>
      <c r="E18" s="52">
        <f>E17</f>
        <v>0</v>
      </c>
      <c r="F18" s="30">
        <f t="shared" si="0"/>
        <v>0</v>
      </c>
    </row>
    <row r="19" spans="1:6" ht="12.75" customHeight="1" x14ac:dyDescent="0.2">
      <c r="A19" s="166"/>
      <c r="B19" s="74" t="s">
        <v>114</v>
      </c>
      <c r="C19" s="42" t="s">
        <v>115</v>
      </c>
      <c r="D19" s="30">
        <f>'1'!D19</f>
        <v>44</v>
      </c>
      <c r="E19" s="51"/>
      <c r="F19" s="30">
        <f t="shared" si="0"/>
        <v>0</v>
      </c>
    </row>
    <row r="20" spans="1:6" ht="12.75" customHeight="1" x14ac:dyDescent="0.2">
      <c r="A20" s="187" t="s">
        <v>44</v>
      </c>
      <c r="B20" s="81" t="s">
        <v>183</v>
      </c>
      <c r="C20" s="34" t="s">
        <v>46</v>
      </c>
      <c r="D20" s="64">
        <f>'1'!D20</f>
        <v>179</v>
      </c>
      <c r="E20" s="53"/>
      <c r="F20" s="28">
        <f t="shared" si="0"/>
        <v>0</v>
      </c>
    </row>
    <row r="21" spans="1:6" ht="12.75" customHeight="1" x14ac:dyDescent="0.2">
      <c r="A21" s="188"/>
      <c r="B21" s="81" t="s">
        <v>184</v>
      </c>
      <c r="C21" s="34" t="s">
        <v>47</v>
      </c>
      <c r="D21" s="64">
        <f>'1'!D21</f>
        <v>179</v>
      </c>
      <c r="E21" s="53"/>
      <c r="F21" s="28">
        <f t="shared" si="0"/>
        <v>0</v>
      </c>
    </row>
    <row r="22" spans="1:6" ht="12.75" customHeight="1" x14ac:dyDescent="0.2">
      <c r="A22" s="189" t="s">
        <v>45</v>
      </c>
      <c r="B22" s="29" t="s">
        <v>48</v>
      </c>
      <c r="C22" s="31" t="s">
        <v>49</v>
      </c>
      <c r="D22" s="30">
        <f>'1'!D22</f>
        <v>189</v>
      </c>
      <c r="E22" s="51"/>
      <c r="F22" s="30">
        <f t="shared" si="0"/>
        <v>0</v>
      </c>
    </row>
    <row r="23" spans="1:6" ht="12.75" customHeight="1" x14ac:dyDescent="0.2">
      <c r="A23" s="190"/>
      <c r="B23" s="29" t="s">
        <v>50</v>
      </c>
      <c r="C23" s="31" t="s">
        <v>51</v>
      </c>
      <c r="D23" s="30">
        <f>'1'!D23</f>
        <v>189</v>
      </c>
      <c r="E23" s="51"/>
      <c r="F23" s="30">
        <f t="shared" si="0"/>
        <v>0</v>
      </c>
    </row>
    <row r="24" spans="1:6" x14ac:dyDescent="0.2">
      <c r="A24" s="185" t="s">
        <v>43</v>
      </c>
      <c r="B24" s="24" t="s">
        <v>39</v>
      </c>
      <c r="C24" s="24" t="s">
        <v>40</v>
      </c>
      <c r="D24" s="64">
        <f>'1'!D24</f>
        <v>299</v>
      </c>
      <c r="E24" s="50"/>
      <c r="F24" s="2">
        <f t="shared" si="0"/>
        <v>0</v>
      </c>
    </row>
    <row r="25" spans="1:6" x14ac:dyDescent="0.2">
      <c r="A25" s="186"/>
      <c r="B25" s="105" t="s">
        <v>108</v>
      </c>
      <c r="C25" s="105" t="s">
        <v>109</v>
      </c>
      <c r="D25" s="64">
        <f>'1'!D25</f>
        <v>299</v>
      </c>
      <c r="E25" s="50"/>
      <c r="F25" s="2">
        <f t="shared" si="0"/>
        <v>0</v>
      </c>
    </row>
    <row r="26" spans="1:6" ht="15.75" x14ac:dyDescent="0.25">
      <c r="A26" s="151" t="s">
        <v>16</v>
      </c>
      <c r="B26" s="152"/>
      <c r="C26" s="152"/>
      <c r="D26" s="152"/>
      <c r="E26" s="153"/>
      <c r="F26" s="4">
        <f>SUM(F2:F25)</f>
        <v>0</v>
      </c>
    </row>
    <row r="29" spans="1:6" x14ac:dyDescent="0.2">
      <c r="B29" s="36" t="s">
        <v>52</v>
      </c>
      <c r="C29" s="37">
        <f>SUM(E4:E13)</f>
        <v>0</v>
      </c>
    </row>
    <row r="30" spans="1:6" x14ac:dyDescent="0.2">
      <c r="B30" s="36" t="s">
        <v>53</v>
      </c>
      <c r="C30" s="37">
        <f>(0.1*SUM(E4:E9))+(0.03*E10)+(0.075*E11)+(0.25*E12)+(0.075*SUM(E13:E13))+(0.06*E22)+(0.1*E23)+(0.125*E20)+(0.15*E21)</f>
        <v>0</v>
      </c>
    </row>
    <row r="31" spans="1:6" x14ac:dyDescent="0.2">
      <c r="B31" s="36" t="s">
        <v>54</v>
      </c>
      <c r="C31" s="35" t="str">
        <f>IF(OR(C30&lt;=((E24*10)+(E25*6)-1),C30=0),"OK","More Power")</f>
        <v>OK</v>
      </c>
    </row>
    <row r="32" spans="1:6" x14ac:dyDescent="0.2">
      <c r="B32" s="38" t="s">
        <v>55</v>
      </c>
      <c r="C32" s="40" t="str">
        <f>IF(IF(AND((E4+E5+E8+E9)=0,(E6+E7+E10+E12+E13+E20+E22)=0),0,(E6+E7+E10+E12+E13+E20+E22)/(E4+E5+E8+E9)&gt;15),"Too Many","OK")</f>
        <v>OK</v>
      </c>
    </row>
    <row r="33" spans="1:3" x14ac:dyDescent="0.2">
      <c r="A33" s="22"/>
      <c r="B33" s="71" t="s">
        <v>135</v>
      </c>
      <c r="C33" s="72" t="str">
        <f>IF(IF(AND(E6=0,E7=0),0,(E6+E7)/(E4+E5+E8+E9)&gt;7),"Too Many","OK")</f>
        <v>OK</v>
      </c>
    </row>
    <row r="34" spans="1:3" x14ac:dyDescent="0.2">
      <c r="A34" s="22"/>
      <c r="B34" s="22"/>
      <c r="C34" s="22"/>
    </row>
    <row r="35" spans="1:3" x14ac:dyDescent="0.2">
      <c r="A35" s="22"/>
      <c r="B35" s="22"/>
      <c r="C35" s="22"/>
    </row>
  </sheetData>
  <sheetProtection password="C4C4" sheet="1" objects="1" scenarios="1"/>
  <mergeCells count="10">
    <mergeCell ref="A26:E26"/>
    <mergeCell ref="A1:F1"/>
    <mergeCell ref="A4:A9"/>
    <mergeCell ref="A10:A11"/>
    <mergeCell ref="A12:A13"/>
    <mergeCell ref="A2:F2"/>
    <mergeCell ref="A14:A19"/>
    <mergeCell ref="A20:A21"/>
    <mergeCell ref="A22:A23"/>
    <mergeCell ref="A24:A25"/>
  </mergeCells>
  <phoneticPr fontId="1" type="noConversion"/>
  <conditionalFormatting sqref="C33">
    <cfRule type="cellIs" dxfId="25" priority="1" operator="equal">
      <formula>"OK"</formula>
    </cfRule>
    <cfRule type="cellIs" dxfId="24" priority="2" operator="equal">
      <formula>"Too Many"</formula>
    </cfRule>
  </conditionalFormatting>
  <conditionalFormatting sqref="C32">
    <cfRule type="cellIs" dxfId="23" priority="5" stopIfTrue="1" operator="equal">
      <formula>#DIV/0!</formula>
    </cfRule>
    <cfRule type="cellIs" dxfId="22" priority="6" stopIfTrue="1" operator="equal">
      <formula>"OK"</formula>
    </cfRule>
    <cfRule type="cellIs" dxfId="21" priority="7" stopIfTrue="1" operator="equal">
      <formula>"Too Many"</formula>
    </cfRule>
  </conditionalFormatting>
  <conditionalFormatting sqref="C31">
    <cfRule type="cellIs" dxfId="20" priority="3" stopIfTrue="1" operator="equal">
      <formula>"OK"</formula>
    </cfRule>
    <cfRule type="cellIs" dxfId="19" priority="4" stopIfTrue="1" operator="equal">
      <formula>"More Power"</formula>
    </cfRule>
  </conditionalFormatting>
  <pageMargins left="0.7" right="0.7" top="0.75" bottom="0.75" header="0.3" footer="0.3"/>
  <pageSetup scale="71" fitToHeight="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MISC!$B$27:$B$27</xm:f>
          </x14:formula1>
          <xm:sqref>B17</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F35"/>
  <sheetViews>
    <sheetView workbookViewId="0">
      <selection sqref="A1:F1"/>
    </sheetView>
  </sheetViews>
  <sheetFormatPr baseColWidth="10" defaultColWidth="9.140625" defaultRowHeight="12.75" x14ac:dyDescent="0.2"/>
  <cols>
    <col min="1" max="1" width="9.140625" bestFit="1" customWidth="1"/>
    <col min="2" max="2" width="14.85546875" bestFit="1" customWidth="1"/>
    <col min="3" max="3" width="66" customWidth="1"/>
    <col min="4" max="4" width="9.140625" style="3" bestFit="1"/>
    <col min="5" max="5" width="8.5703125" bestFit="1" customWidth="1"/>
    <col min="6" max="6" width="21.42578125" style="3" customWidth="1"/>
    <col min="8" max="8" width="17.42578125" bestFit="1" customWidth="1"/>
    <col min="9" max="9" width="8" bestFit="1" customWidth="1"/>
  </cols>
  <sheetData>
    <row r="1" spans="1:6" ht="18" x14ac:dyDescent="0.25">
      <c r="A1" s="160" t="str">
        <f>'Building Total'!C37</f>
        <v>Level 13</v>
      </c>
      <c r="B1" s="160"/>
      <c r="C1" s="160"/>
      <c r="D1" s="160"/>
      <c r="E1" s="160"/>
      <c r="F1" s="160"/>
    </row>
    <row r="2" spans="1:6" x14ac:dyDescent="0.2">
      <c r="A2" s="140" t="s">
        <v>9</v>
      </c>
      <c r="B2" s="141"/>
      <c r="C2" s="141"/>
      <c r="D2" s="141"/>
      <c r="E2" s="141"/>
      <c r="F2" s="142"/>
    </row>
    <row r="3" spans="1:6" ht="12.75" customHeight="1" x14ac:dyDescent="0.2">
      <c r="A3" s="104" t="s">
        <v>116</v>
      </c>
      <c r="B3" s="104" t="s">
        <v>117</v>
      </c>
      <c r="C3" s="104" t="s">
        <v>0</v>
      </c>
      <c r="D3" s="104" t="s">
        <v>118</v>
      </c>
      <c r="E3" s="104" t="s">
        <v>119</v>
      </c>
      <c r="F3" s="104" t="s">
        <v>3</v>
      </c>
    </row>
    <row r="4" spans="1:6" ht="12.75" customHeight="1" x14ac:dyDescent="0.2">
      <c r="A4" s="184" t="s">
        <v>37</v>
      </c>
      <c r="B4" s="103" t="s">
        <v>10</v>
      </c>
      <c r="C4" s="103" t="s">
        <v>30</v>
      </c>
      <c r="D4" s="2">
        <f>'1'!D4</f>
        <v>279</v>
      </c>
      <c r="E4" s="50"/>
      <c r="F4" s="2">
        <f t="shared" ref="F4:F25" si="0">E4*D4</f>
        <v>0</v>
      </c>
    </row>
    <row r="5" spans="1:6" x14ac:dyDescent="0.2">
      <c r="A5" s="185"/>
      <c r="B5" s="66" t="s">
        <v>179</v>
      </c>
      <c r="C5" s="103" t="s">
        <v>31</v>
      </c>
      <c r="D5" s="2">
        <f>'1'!D5</f>
        <v>279</v>
      </c>
      <c r="E5" s="50"/>
      <c r="F5" s="2">
        <f t="shared" si="0"/>
        <v>0</v>
      </c>
    </row>
    <row r="6" spans="1:6" x14ac:dyDescent="0.2">
      <c r="A6" s="185"/>
      <c r="B6" s="103" t="s">
        <v>32</v>
      </c>
      <c r="C6" s="103" t="s">
        <v>33</v>
      </c>
      <c r="D6" s="2">
        <f>'1'!D6</f>
        <v>279</v>
      </c>
      <c r="E6" s="50"/>
      <c r="F6" s="2">
        <f t="shared" si="0"/>
        <v>0</v>
      </c>
    </row>
    <row r="7" spans="1:6" x14ac:dyDescent="0.2">
      <c r="A7" s="185"/>
      <c r="B7" s="66" t="s">
        <v>180</v>
      </c>
      <c r="C7" s="103" t="s">
        <v>34</v>
      </c>
      <c r="D7" s="2">
        <f>'1'!D7</f>
        <v>279</v>
      </c>
      <c r="E7" s="50"/>
      <c r="F7" s="2">
        <f t="shared" si="0"/>
        <v>0</v>
      </c>
    </row>
    <row r="8" spans="1:6" x14ac:dyDescent="0.2">
      <c r="A8" s="185"/>
      <c r="B8" s="26" t="s">
        <v>28</v>
      </c>
      <c r="C8" s="25" t="s">
        <v>27</v>
      </c>
      <c r="D8" s="2">
        <f>'1'!D8</f>
        <v>427</v>
      </c>
      <c r="E8" s="50"/>
      <c r="F8" s="2">
        <f t="shared" si="0"/>
        <v>0</v>
      </c>
    </row>
    <row r="9" spans="1:6" ht="12.75" customHeight="1" x14ac:dyDescent="0.2">
      <c r="A9" s="186"/>
      <c r="B9" s="56" t="s">
        <v>181</v>
      </c>
      <c r="C9" s="25" t="s">
        <v>29</v>
      </c>
      <c r="D9" s="2">
        <f>'1'!D9</f>
        <v>482</v>
      </c>
      <c r="E9" s="50"/>
      <c r="F9" s="2">
        <f t="shared" si="0"/>
        <v>0</v>
      </c>
    </row>
    <row r="10" spans="1:6" ht="12.75" customHeight="1" x14ac:dyDescent="0.2">
      <c r="A10" s="164" t="s">
        <v>38</v>
      </c>
      <c r="B10" s="29" t="s">
        <v>12</v>
      </c>
      <c r="C10" s="29" t="s">
        <v>13</v>
      </c>
      <c r="D10" s="30">
        <f>'1'!D10</f>
        <v>149</v>
      </c>
      <c r="E10" s="51"/>
      <c r="F10" s="30">
        <f t="shared" si="0"/>
        <v>0</v>
      </c>
    </row>
    <row r="11" spans="1:6" ht="12.75" customHeight="1" x14ac:dyDescent="0.2">
      <c r="A11" s="166"/>
      <c r="B11" s="32" t="s">
        <v>35</v>
      </c>
      <c r="C11" s="33" t="s">
        <v>36</v>
      </c>
      <c r="D11" s="30">
        <f>'1'!D11</f>
        <v>149</v>
      </c>
      <c r="E11" s="51"/>
      <c r="F11" s="30">
        <f>E11*D11</f>
        <v>0</v>
      </c>
    </row>
    <row r="12" spans="1:6" ht="12.75" customHeight="1" x14ac:dyDescent="0.2">
      <c r="A12" s="184" t="s">
        <v>41</v>
      </c>
      <c r="B12" s="66" t="s">
        <v>205</v>
      </c>
      <c r="C12" s="66" t="s">
        <v>206</v>
      </c>
      <c r="D12" s="2">
        <f>'1'!D12</f>
        <v>215</v>
      </c>
      <c r="E12" s="50"/>
      <c r="F12" s="2">
        <f t="shared" si="0"/>
        <v>0</v>
      </c>
    </row>
    <row r="13" spans="1:6" x14ac:dyDescent="0.2">
      <c r="A13" s="185"/>
      <c r="B13" s="103" t="s">
        <v>25</v>
      </c>
      <c r="C13" s="103" t="s">
        <v>26</v>
      </c>
      <c r="D13" s="2">
        <f>'1'!D13</f>
        <v>185</v>
      </c>
      <c r="E13" s="50"/>
      <c r="F13" s="2">
        <f t="shared" si="0"/>
        <v>0</v>
      </c>
    </row>
    <row r="14" spans="1:6" ht="12.75" customHeight="1" x14ac:dyDescent="0.2">
      <c r="A14" s="164" t="s">
        <v>42</v>
      </c>
      <c r="B14" s="29" t="s">
        <v>17</v>
      </c>
      <c r="C14" s="29" t="s">
        <v>18</v>
      </c>
      <c r="D14" s="30">
        <f>'1'!D14</f>
        <v>30</v>
      </c>
      <c r="E14" s="52">
        <f>ROUNDUP((E4+E6+E8+E10+E11)/5,0)</f>
        <v>0</v>
      </c>
      <c r="F14" s="30">
        <f t="shared" si="0"/>
        <v>0</v>
      </c>
    </row>
    <row r="15" spans="1:6" x14ac:dyDescent="0.2">
      <c r="A15" s="165"/>
      <c r="B15" s="31" t="s">
        <v>22</v>
      </c>
      <c r="C15" s="31" t="s">
        <v>23</v>
      </c>
      <c r="D15" s="30">
        <f>'1'!D15</f>
        <v>60</v>
      </c>
      <c r="E15" s="51"/>
      <c r="F15" s="30">
        <f t="shared" si="0"/>
        <v>0</v>
      </c>
    </row>
    <row r="16" spans="1:6" x14ac:dyDescent="0.2">
      <c r="A16" s="165"/>
      <c r="B16" s="42" t="s">
        <v>207</v>
      </c>
      <c r="C16" s="42" t="s">
        <v>208</v>
      </c>
      <c r="D16" s="30">
        <f>'1'!D16</f>
        <v>30</v>
      </c>
      <c r="E16" s="51"/>
      <c r="F16" s="30">
        <f t="shared" si="0"/>
        <v>0</v>
      </c>
    </row>
    <row r="17" spans="1:6" ht="12.75" customHeight="1" x14ac:dyDescent="0.2">
      <c r="A17" s="165"/>
      <c r="B17" s="51" t="s">
        <v>102</v>
      </c>
      <c r="C17" s="29" t="str">
        <f>IF(B17=MISC!B27,MISC!C27,IF(B17=MISC!B25,MISC!C25,IF(B17=MISC!#REF!,MISC!#REF!)))</f>
        <v>Reader Certified Cable w/ 2 RJ12 (6 pin) connectors 30 feet Plenum</v>
      </c>
      <c r="D17" s="30">
        <f>IF(B17=MISC!B25,MISC!D25,IF(B17=MISC!B27,MISC!D27,IF(B17=MISC!#REF!,MISC!#REF!)))</f>
        <v>25</v>
      </c>
      <c r="E17" s="52">
        <f>(SUM(E4:E10))+SUM(E12:E13)+SUM(E20:E22)</f>
        <v>0</v>
      </c>
      <c r="F17" s="30">
        <f t="shared" si="0"/>
        <v>0</v>
      </c>
    </row>
    <row r="18" spans="1:6" ht="12.75" customHeight="1" x14ac:dyDescent="0.2">
      <c r="A18" s="165"/>
      <c r="B18" s="65" t="s">
        <v>182</v>
      </c>
      <c r="C18" s="31" t="s">
        <v>24</v>
      </c>
      <c r="D18" s="30">
        <f>'1'!D18</f>
        <v>24</v>
      </c>
      <c r="E18" s="52">
        <f>E17</f>
        <v>0</v>
      </c>
      <c r="F18" s="30">
        <f t="shared" si="0"/>
        <v>0</v>
      </c>
    </row>
    <row r="19" spans="1:6" ht="12.75" customHeight="1" x14ac:dyDescent="0.2">
      <c r="A19" s="166"/>
      <c r="B19" s="74" t="s">
        <v>114</v>
      </c>
      <c r="C19" s="42" t="s">
        <v>115</v>
      </c>
      <c r="D19" s="30">
        <f>'1'!D19</f>
        <v>44</v>
      </c>
      <c r="E19" s="51"/>
      <c r="F19" s="30">
        <f t="shared" si="0"/>
        <v>0</v>
      </c>
    </row>
    <row r="20" spans="1:6" ht="12.75" customHeight="1" x14ac:dyDescent="0.2">
      <c r="A20" s="187" t="s">
        <v>44</v>
      </c>
      <c r="B20" s="81" t="s">
        <v>183</v>
      </c>
      <c r="C20" s="34" t="s">
        <v>46</v>
      </c>
      <c r="D20" s="64">
        <f>'1'!D20</f>
        <v>179</v>
      </c>
      <c r="E20" s="53"/>
      <c r="F20" s="28">
        <f t="shared" si="0"/>
        <v>0</v>
      </c>
    </row>
    <row r="21" spans="1:6" ht="12.75" customHeight="1" x14ac:dyDescent="0.2">
      <c r="A21" s="188"/>
      <c r="B21" s="81" t="s">
        <v>184</v>
      </c>
      <c r="C21" s="34" t="s">
        <v>47</v>
      </c>
      <c r="D21" s="64">
        <f>'1'!D21</f>
        <v>179</v>
      </c>
      <c r="E21" s="53"/>
      <c r="F21" s="28">
        <f t="shared" si="0"/>
        <v>0</v>
      </c>
    </row>
    <row r="22" spans="1:6" ht="12.75" customHeight="1" x14ac:dyDescent="0.2">
      <c r="A22" s="189" t="s">
        <v>45</v>
      </c>
      <c r="B22" s="29" t="s">
        <v>48</v>
      </c>
      <c r="C22" s="31" t="s">
        <v>49</v>
      </c>
      <c r="D22" s="30">
        <f>'1'!D22</f>
        <v>189</v>
      </c>
      <c r="E22" s="51"/>
      <c r="F22" s="30">
        <f t="shared" si="0"/>
        <v>0</v>
      </c>
    </row>
    <row r="23" spans="1:6" ht="12.75" customHeight="1" x14ac:dyDescent="0.2">
      <c r="A23" s="190"/>
      <c r="B23" s="29" t="s">
        <v>50</v>
      </c>
      <c r="C23" s="31" t="s">
        <v>51</v>
      </c>
      <c r="D23" s="30">
        <f>'1'!D23</f>
        <v>189</v>
      </c>
      <c r="E23" s="51"/>
      <c r="F23" s="30">
        <f t="shared" si="0"/>
        <v>0</v>
      </c>
    </row>
    <row r="24" spans="1:6" x14ac:dyDescent="0.2">
      <c r="A24" s="185" t="s">
        <v>43</v>
      </c>
      <c r="B24" s="24" t="s">
        <v>39</v>
      </c>
      <c r="C24" s="24" t="s">
        <v>40</v>
      </c>
      <c r="D24" s="64">
        <f>'1'!D24</f>
        <v>299</v>
      </c>
      <c r="E24" s="50"/>
      <c r="F24" s="2">
        <f t="shared" si="0"/>
        <v>0</v>
      </c>
    </row>
    <row r="25" spans="1:6" x14ac:dyDescent="0.2">
      <c r="A25" s="186"/>
      <c r="B25" s="105" t="s">
        <v>108</v>
      </c>
      <c r="C25" s="105" t="s">
        <v>109</v>
      </c>
      <c r="D25" s="64">
        <f>'1'!D25</f>
        <v>299</v>
      </c>
      <c r="E25" s="50"/>
      <c r="F25" s="2">
        <f t="shared" si="0"/>
        <v>0</v>
      </c>
    </row>
    <row r="26" spans="1:6" ht="15.75" x14ac:dyDescent="0.25">
      <c r="A26" s="151" t="s">
        <v>16</v>
      </c>
      <c r="B26" s="152"/>
      <c r="C26" s="152"/>
      <c r="D26" s="152"/>
      <c r="E26" s="153"/>
      <c r="F26" s="4">
        <f>SUM(F2:F25)</f>
        <v>0</v>
      </c>
    </row>
    <row r="29" spans="1:6" x14ac:dyDescent="0.2">
      <c r="B29" s="36" t="s">
        <v>52</v>
      </c>
      <c r="C29" s="37">
        <f>SUM(E4:E13)</f>
        <v>0</v>
      </c>
    </row>
    <row r="30" spans="1:6" x14ac:dyDescent="0.2">
      <c r="B30" s="36" t="s">
        <v>53</v>
      </c>
      <c r="C30" s="37">
        <f>(0.1*SUM(E4:E9))+(0.03*E10)+(0.075*E11)+(0.25*E12)+(0.075*SUM(E13:E13))+(0.06*E22)+(0.1*E23)+(0.125*E20)+(0.15*E21)</f>
        <v>0</v>
      </c>
    </row>
    <row r="31" spans="1:6" x14ac:dyDescent="0.2">
      <c r="B31" s="36" t="s">
        <v>54</v>
      </c>
      <c r="C31" s="35" t="str">
        <f>IF(OR(C30&lt;=((E24*10)+(E25*6)-1),C30=0),"OK","More Power")</f>
        <v>OK</v>
      </c>
    </row>
    <row r="32" spans="1:6" x14ac:dyDescent="0.2">
      <c r="B32" s="38" t="s">
        <v>55</v>
      </c>
      <c r="C32" s="40" t="str">
        <f>IF(IF(AND((E4+E5+E8+E9)=0,(E6+E7+E10+E12+E13+E20+E22)=0),0,(E6+E7+E10+E12+E13+E20+E22)/(E4+E5+E8+E9)&gt;15),"Too Many","OK")</f>
        <v>OK</v>
      </c>
    </row>
    <row r="33" spans="1:3" x14ac:dyDescent="0.2">
      <c r="A33" s="22"/>
      <c r="B33" s="71" t="s">
        <v>135</v>
      </c>
      <c r="C33" s="72" t="str">
        <f>IF(IF(AND(E6=0,E7=0),0,(E6+E7)/(E4+E5+E8+E9)&gt;7),"Too Many","OK")</f>
        <v>OK</v>
      </c>
    </row>
    <row r="34" spans="1:3" x14ac:dyDescent="0.2">
      <c r="A34" s="22"/>
      <c r="B34" s="22"/>
      <c r="C34" s="22"/>
    </row>
    <row r="35" spans="1:3" x14ac:dyDescent="0.2">
      <c r="A35" s="22"/>
      <c r="B35" s="22"/>
      <c r="C35" s="22"/>
    </row>
  </sheetData>
  <sheetProtection password="C4C4" sheet="1" objects="1" scenarios="1"/>
  <mergeCells count="10">
    <mergeCell ref="A26:E26"/>
    <mergeCell ref="A1:F1"/>
    <mergeCell ref="A4:A9"/>
    <mergeCell ref="A10:A11"/>
    <mergeCell ref="A12:A13"/>
    <mergeCell ref="A2:F2"/>
    <mergeCell ref="A14:A19"/>
    <mergeCell ref="A20:A21"/>
    <mergeCell ref="A22:A23"/>
    <mergeCell ref="A24:A25"/>
  </mergeCells>
  <phoneticPr fontId="1" type="noConversion"/>
  <conditionalFormatting sqref="C33">
    <cfRule type="cellIs" dxfId="18" priority="1" operator="equal">
      <formula>"OK"</formula>
    </cfRule>
    <cfRule type="cellIs" dxfId="17" priority="2" operator="equal">
      <formula>"Too Many"</formula>
    </cfRule>
  </conditionalFormatting>
  <conditionalFormatting sqref="C32">
    <cfRule type="cellIs" dxfId="16" priority="5" stopIfTrue="1" operator="equal">
      <formula>#DIV/0!</formula>
    </cfRule>
    <cfRule type="cellIs" dxfId="15" priority="6" stopIfTrue="1" operator="equal">
      <formula>"OK"</formula>
    </cfRule>
    <cfRule type="cellIs" dxfId="14" priority="7" stopIfTrue="1" operator="equal">
      <formula>"Too Many"</formula>
    </cfRule>
  </conditionalFormatting>
  <conditionalFormatting sqref="C31">
    <cfRule type="cellIs" dxfId="13" priority="3" stopIfTrue="1" operator="equal">
      <formula>"OK"</formula>
    </cfRule>
    <cfRule type="cellIs" dxfId="12" priority="4" stopIfTrue="1" operator="equal">
      <formula>"More Power"</formula>
    </cfRule>
  </conditionalFormatting>
  <pageMargins left="0.7" right="0.7" top="0.75" bottom="0.75" header="0.3" footer="0.3"/>
  <pageSetup scale="71" fitToHeight="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MISC!$B$27:$B$27</xm:f>
          </x14:formula1>
          <xm:sqref>B17</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1"/>
  <sheetViews>
    <sheetView workbookViewId="0">
      <selection sqref="A1:F1"/>
    </sheetView>
  </sheetViews>
  <sheetFormatPr baseColWidth="10" defaultColWidth="9.140625" defaultRowHeight="12.75" x14ac:dyDescent="0.2"/>
  <cols>
    <col min="2" max="2" width="15.42578125" bestFit="1" customWidth="1"/>
    <col min="3" max="3" width="58.140625" bestFit="1" customWidth="1"/>
    <col min="4" max="4" width="11" customWidth="1"/>
    <col min="6" max="6" width="17.5703125" customWidth="1"/>
  </cols>
  <sheetData>
    <row r="1" spans="1:6" ht="18" x14ac:dyDescent="0.25">
      <c r="A1" s="172" t="s">
        <v>252</v>
      </c>
      <c r="B1" s="172"/>
      <c r="C1" s="172"/>
      <c r="D1" s="172"/>
      <c r="E1" s="172"/>
      <c r="F1" s="172"/>
    </row>
    <row r="2" spans="1:6" x14ac:dyDescent="0.2">
      <c r="A2" s="140" t="s">
        <v>9</v>
      </c>
      <c r="B2" s="141"/>
      <c r="C2" s="141"/>
      <c r="D2" s="141"/>
      <c r="E2" s="141"/>
      <c r="F2" s="142"/>
    </row>
    <row r="3" spans="1:6" x14ac:dyDescent="0.2">
      <c r="A3" s="111" t="s">
        <v>116</v>
      </c>
      <c r="B3" s="111" t="s">
        <v>117</v>
      </c>
      <c r="C3" s="111" t="s">
        <v>0</v>
      </c>
      <c r="D3" s="111" t="s">
        <v>118</v>
      </c>
      <c r="E3" s="111" t="s">
        <v>119</v>
      </c>
      <c r="F3" s="111" t="s">
        <v>3</v>
      </c>
    </row>
    <row r="4" spans="1:6" x14ac:dyDescent="0.2">
      <c r="A4" s="171" t="s">
        <v>253</v>
      </c>
      <c r="B4" s="117" t="s">
        <v>60</v>
      </c>
      <c r="C4" s="118" t="s">
        <v>62</v>
      </c>
      <c r="D4" s="64">
        <f>MISC!D10</f>
        <v>497</v>
      </c>
      <c r="E4" s="79"/>
      <c r="F4" s="64">
        <f t="shared" ref="F4:F13" si="0">E4*D4</f>
        <v>0</v>
      </c>
    </row>
    <row r="5" spans="1:6" x14ac:dyDescent="0.2">
      <c r="A5" s="171"/>
      <c r="B5" s="119" t="s">
        <v>63</v>
      </c>
      <c r="C5" s="119" t="s">
        <v>64</v>
      </c>
      <c r="D5" s="64">
        <f>MISC!D11</f>
        <v>41</v>
      </c>
      <c r="E5" s="79"/>
      <c r="F5" s="64">
        <f t="shared" si="0"/>
        <v>0</v>
      </c>
    </row>
    <row r="6" spans="1:6" x14ac:dyDescent="0.2">
      <c r="A6" s="171"/>
      <c r="B6" s="119" t="s">
        <v>65</v>
      </c>
      <c r="C6" s="119" t="s">
        <v>66</v>
      </c>
      <c r="D6" s="64">
        <f>MISC!D12</f>
        <v>81</v>
      </c>
      <c r="E6" s="79"/>
      <c r="F6" s="64">
        <f t="shared" si="0"/>
        <v>0</v>
      </c>
    </row>
    <row r="7" spans="1:6" x14ac:dyDescent="0.2">
      <c r="A7" s="171"/>
      <c r="B7" s="119" t="s">
        <v>67</v>
      </c>
      <c r="C7" s="119" t="s">
        <v>68</v>
      </c>
      <c r="D7" s="64">
        <f>MISC!D13</f>
        <v>106</v>
      </c>
      <c r="E7" s="79"/>
      <c r="F7" s="64">
        <f t="shared" si="0"/>
        <v>0</v>
      </c>
    </row>
    <row r="8" spans="1:6" x14ac:dyDescent="0.2">
      <c r="A8" s="193" t="s">
        <v>41</v>
      </c>
      <c r="B8" s="65" t="s">
        <v>216</v>
      </c>
      <c r="C8" s="65" t="s">
        <v>210</v>
      </c>
      <c r="D8" s="30">
        <f>MISC!D17</f>
        <v>523</v>
      </c>
      <c r="E8" s="51"/>
      <c r="F8" s="30">
        <f t="shared" si="0"/>
        <v>0</v>
      </c>
    </row>
    <row r="9" spans="1:6" x14ac:dyDescent="0.2">
      <c r="A9" s="194"/>
      <c r="B9" s="42" t="s">
        <v>217</v>
      </c>
      <c r="C9" s="42" t="s">
        <v>218</v>
      </c>
      <c r="D9" s="30">
        <f>MISC!D20</f>
        <v>46</v>
      </c>
      <c r="E9" s="51"/>
      <c r="F9" s="30">
        <f t="shared" si="0"/>
        <v>0</v>
      </c>
    </row>
    <row r="10" spans="1:6" x14ac:dyDescent="0.2">
      <c r="A10" s="191" t="s">
        <v>42</v>
      </c>
      <c r="B10" s="79" t="s">
        <v>102</v>
      </c>
      <c r="C10" s="62" t="str">
        <f>IF(B10=MISC!B27,MISC!C27,IF(B10=MISC!B25,MISC!C25,IF(B10=MISC!#REF!,MISC!#REF!)))</f>
        <v>Reader Certified Cable w/ 2 RJ12 (6 pin) connectors 30 feet Plenum</v>
      </c>
      <c r="D10" s="64">
        <f>IF(B10=MISC!B25,MISC!D25,IF(B10=MISC!B27,MISC!D27,IF(B10=MISC!#REF!,MISC!#REF!)))</f>
        <v>25</v>
      </c>
      <c r="E10" s="52">
        <f>E4+E8</f>
        <v>0</v>
      </c>
      <c r="F10" s="64">
        <f t="shared" si="0"/>
        <v>0</v>
      </c>
    </row>
    <row r="11" spans="1:6" x14ac:dyDescent="0.2">
      <c r="A11" s="192"/>
      <c r="B11" s="108" t="s">
        <v>182</v>
      </c>
      <c r="C11" s="120" t="s">
        <v>24</v>
      </c>
      <c r="D11" s="64">
        <f>MISC!D28</f>
        <v>24</v>
      </c>
      <c r="E11" s="52">
        <f>E10</f>
        <v>0</v>
      </c>
      <c r="F11" s="64">
        <f t="shared" si="0"/>
        <v>0</v>
      </c>
    </row>
    <row r="12" spans="1:6" x14ac:dyDescent="0.2">
      <c r="A12" s="170" t="s">
        <v>43</v>
      </c>
      <c r="B12" s="31" t="s">
        <v>39</v>
      </c>
      <c r="C12" s="31" t="s">
        <v>40</v>
      </c>
      <c r="D12" s="30">
        <f>MISC!D34</f>
        <v>299</v>
      </c>
      <c r="E12" s="51"/>
      <c r="F12" s="30">
        <f t="shared" si="0"/>
        <v>0</v>
      </c>
    </row>
    <row r="13" spans="1:6" x14ac:dyDescent="0.2">
      <c r="A13" s="170"/>
      <c r="B13" s="42" t="s">
        <v>108</v>
      </c>
      <c r="C13" s="42" t="s">
        <v>109</v>
      </c>
      <c r="D13" s="30">
        <f>MISC!D35</f>
        <v>299</v>
      </c>
      <c r="E13" s="51"/>
      <c r="F13" s="30">
        <f t="shared" si="0"/>
        <v>0</v>
      </c>
    </row>
    <row r="14" spans="1:6" ht="15.75" x14ac:dyDescent="0.25">
      <c r="A14" s="168" t="s">
        <v>16</v>
      </c>
      <c r="B14" s="168"/>
      <c r="C14" s="168"/>
      <c r="D14" s="168"/>
      <c r="E14" s="168"/>
      <c r="F14" s="4">
        <f>SUM(F2:F13)</f>
        <v>0</v>
      </c>
    </row>
    <row r="15" spans="1:6" x14ac:dyDescent="0.2">
      <c r="D15" s="3"/>
      <c r="F15" s="3"/>
    </row>
    <row r="16" spans="1:6" x14ac:dyDescent="0.2">
      <c r="D16" s="3"/>
      <c r="F16" s="3"/>
    </row>
    <row r="17" spans="1:6" x14ac:dyDescent="0.2">
      <c r="B17" s="36" t="s">
        <v>52</v>
      </c>
      <c r="C17" s="37">
        <f>E4+E8</f>
        <v>0</v>
      </c>
      <c r="D17" s="3"/>
      <c r="F17" s="3"/>
    </row>
    <row r="18" spans="1:6" x14ac:dyDescent="0.2">
      <c r="B18" s="36" t="s">
        <v>53</v>
      </c>
      <c r="C18" s="37">
        <f>(0.1*E4)+(0.25*E8)</f>
        <v>0</v>
      </c>
      <c r="D18" s="3"/>
      <c r="F18" s="3"/>
    </row>
    <row r="19" spans="1:6" x14ac:dyDescent="0.2">
      <c r="B19" s="36" t="s">
        <v>54</v>
      </c>
      <c r="C19" s="35" t="str">
        <f>IF(OR(C18&lt;=((E12*10)+(E13*6)-1),C18=0),"OK","More Power")</f>
        <v>OK</v>
      </c>
      <c r="D19" s="3"/>
      <c r="F19" s="3"/>
    </row>
    <row r="20" spans="1:6" x14ac:dyDescent="0.2">
      <c r="B20" s="38" t="s">
        <v>55</v>
      </c>
      <c r="C20" s="40" t="str">
        <f>IF(IF(AND((E4)=0,(E8)=0),0,(E8)/(E4)&gt;15),"Too Many","OK")</f>
        <v>OK</v>
      </c>
      <c r="D20" s="3"/>
      <c r="F20" s="3"/>
    </row>
    <row r="21" spans="1:6" x14ac:dyDescent="0.2">
      <c r="A21" s="22"/>
      <c r="B21" s="22"/>
      <c r="C21" s="22"/>
      <c r="D21" s="3"/>
      <c r="F21" s="3"/>
    </row>
  </sheetData>
  <sheetProtection password="C4C4" sheet="1" objects="1" scenarios="1"/>
  <mergeCells count="7">
    <mergeCell ref="A12:A13"/>
    <mergeCell ref="A14:E14"/>
    <mergeCell ref="A1:F1"/>
    <mergeCell ref="A2:F2"/>
    <mergeCell ref="A4:A7"/>
    <mergeCell ref="A10:A11"/>
    <mergeCell ref="A8:A9"/>
  </mergeCells>
  <conditionalFormatting sqref="C20">
    <cfRule type="cellIs" dxfId="11" priority="5" stopIfTrue="1" operator="equal">
      <formula>#DIV/0!</formula>
    </cfRule>
    <cfRule type="cellIs" dxfId="10" priority="6" stopIfTrue="1" operator="equal">
      <formula>"OK"</formula>
    </cfRule>
    <cfRule type="cellIs" dxfId="9" priority="7" stopIfTrue="1" operator="equal">
      <formula>"Too Many"</formula>
    </cfRule>
  </conditionalFormatting>
  <conditionalFormatting sqref="C19">
    <cfRule type="cellIs" dxfId="8" priority="3" stopIfTrue="1" operator="equal">
      <formula>"OK"</formula>
    </cfRule>
    <cfRule type="cellIs" dxfId="7" priority="4" stopIfTrue="1" operator="equal">
      <formula>"More Power"</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MISC!$B$27:$B$27</xm:f>
          </x14:formula1>
          <xm:sqref>B10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pageSetUpPr fitToPage="1"/>
  </sheetPr>
  <dimension ref="A1:F47"/>
  <sheetViews>
    <sheetView topLeftCell="A31" zoomScaleNormal="100" workbookViewId="0">
      <selection activeCell="B26" sqref="B26"/>
    </sheetView>
  </sheetViews>
  <sheetFormatPr baseColWidth="10" defaultColWidth="9.140625" defaultRowHeight="12.75" x14ac:dyDescent="0.2"/>
  <cols>
    <col min="1" max="1" width="9.140625" bestFit="1" customWidth="1"/>
    <col min="2" max="2" width="16.42578125" customWidth="1"/>
    <col min="3" max="3" width="66" customWidth="1"/>
    <col min="4" max="4" width="9.140625" style="3" bestFit="1"/>
    <col min="5" max="5" width="8.5703125" bestFit="1" customWidth="1"/>
    <col min="6" max="6" width="21.42578125" style="3" customWidth="1"/>
    <col min="8" max="8" width="17.42578125" bestFit="1" customWidth="1"/>
    <col min="9" max="9" width="8" bestFit="1" customWidth="1"/>
  </cols>
  <sheetData>
    <row r="1" spans="1:6" ht="18" x14ac:dyDescent="0.25">
      <c r="A1" s="160" t="str">
        <f>'Building Total'!C39</f>
        <v>Miscellaneous/Spare Parts</v>
      </c>
      <c r="B1" s="160"/>
      <c r="C1" s="160"/>
      <c r="D1" s="160"/>
      <c r="E1" s="160"/>
      <c r="F1" s="160"/>
    </row>
    <row r="2" spans="1:6" x14ac:dyDescent="0.2">
      <c r="A2" s="124" t="s">
        <v>9</v>
      </c>
      <c r="B2" s="124"/>
      <c r="C2" s="124"/>
      <c r="D2" s="124"/>
      <c r="E2" s="124"/>
      <c r="F2" s="124"/>
    </row>
    <row r="3" spans="1:6" ht="12.75" customHeight="1" x14ac:dyDescent="0.2">
      <c r="A3" s="104" t="s">
        <v>116</v>
      </c>
      <c r="B3" s="104" t="s">
        <v>117</v>
      </c>
      <c r="C3" s="104" t="s">
        <v>0</v>
      </c>
      <c r="D3" s="104" t="s">
        <v>1</v>
      </c>
      <c r="E3" s="104" t="s">
        <v>119</v>
      </c>
      <c r="F3" s="104" t="s">
        <v>3</v>
      </c>
    </row>
    <row r="4" spans="1:6" ht="12.75" customHeight="1" x14ac:dyDescent="0.2">
      <c r="A4" s="161" t="s">
        <v>37</v>
      </c>
      <c r="B4" s="103" t="s">
        <v>10</v>
      </c>
      <c r="C4" s="103" t="s">
        <v>30</v>
      </c>
      <c r="D4" s="2">
        <f>'1'!D4</f>
        <v>279</v>
      </c>
      <c r="E4" s="50"/>
      <c r="F4" s="2">
        <f t="shared" ref="F4:F39" si="0">E4*D4</f>
        <v>0</v>
      </c>
    </row>
    <row r="5" spans="1:6" x14ac:dyDescent="0.2">
      <c r="A5" s="161"/>
      <c r="B5" s="66" t="s">
        <v>179</v>
      </c>
      <c r="C5" s="103" t="s">
        <v>31</v>
      </c>
      <c r="D5" s="2">
        <f>'1'!D5</f>
        <v>279</v>
      </c>
      <c r="E5" s="50"/>
      <c r="F5" s="2">
        <f t="shared" si="0"/>
        <v>0</v>
      </c>
    </row>
    <row r="6" spans="1:6" x14ac:dyDescent="0.2">
      <c r="A6" s="161"/>
      <c r="B6" s="103" t="s">
        <v>32</v>
      </c>
      <c r="C6" s="103" t="s">
        <v>33</v>
      </c>
      <c r="D6" s="2">
        <f>'1'!D6</f>
        <v>279</v>
      </c>
      <c r="E6" s="50"/>
      <c r="F6" s="2">
        <f t="shared" si="0"/>
        <v>0</v>
      </c>
    </row>
    <row r="7" spans="1:6" x14ac:dyDescent="0.2">
      <c r="A7" s="161"/>
      <c r="B7" s="66" t="s">
        <v>180</v>
      </c>
      <c r="C7" s="103" t="s">
        <v>34</v>
      </c>
      <c r="D7" s="2">
        <f>'1'!D7</f>
        <v>279</v>
      </c>
      <c r="E7" s="50"/>
      <c r="F7" s="2">
        <f t="shared" si="0"/>
        <v>0</v>
      </c>
    </row>
    <row r="8" spans="1:6" x14ac:dyDescent="0.2">
      <c r="A8" s="161"/>
      <c r="B8" s="101" t="s">
        <v>28</v>
      </c>
      <c r="C8" s="57" t="s">
        <v>27</v>
      </c>
      <c r="D8" s="2">
        <f>'1'!D8</f>
        <v>427</v>
      </c>
      <c r="E8" s="50"/>
      <c r="F8" s="2">
        <f t="shared" si="0"/>
        <v>0</v>
      </c>
    </row>
    <row r="9" spans="1:6" ht="12.75" customHeight="1" x14ac:dyDescent="0.2">
      <c r="A9" s="161"/>
      <c r="B9" s="101" t="s">
        <v>181</v>
      </c>
      <c r="C9" s="57" t="s">
        <v>29</v>
      </c>
      <c r="D9" s="2">
        <f>'1'!D9</f>
        <v>482</v>
      </c>
      <c r="E9" s="50"/>
      <c r="F9" s="2">
        <f t="shared" si="0"/>
        <v>0</v>
      </c>
    </row>
    <row r="10" spans="1:6" ht="12.75" customHeight="1" x14ac:dyDescent="0.2">
      <c r="A10" s="162" t="s">
        <v>70</v>
      </c>
      <c r="B10" s="59" t="s">
        <v>60</v>
      </c>
      <c r="C10" s="58" t="s">
        <v>62</v>
      </c>
      <c r="D10" s="30">
        <v>497</v>
      </c>
      <c r="E10" s="51"/>
      <c r="F10" s="30">
        <f t="shared" si="0"/>
        <v>0</v>
      </c>
    </row>
    <row r="11" spans="1:6" x14ac:dyDescent="0.2">
      <c r="A11" s="162"/>
      <c r="B11" s="39" t="s">
        <v>63</v>
      </c>
      <c r="C11" s="39" t="s">
        <v>64</v>
      </c>
      <c r="D11" s="30">
        <v>41</v>
      </c>
      <c r="E11" s="51"/>
      <c r="F11" s="30">
        <f t="shared" si="0"/>
        <v>0</v>
      </c>
    </row>
    <row r="12" spans="1:6" x14ac:dyDescent="0.2">
      <c r="A12" s="162"/>
      <c r="B12" s="39" t="s">
        <v>65</v>
      </c>
      <c r="C12" s="39" t="s">
        <v>66</v>
      </c>
      <c r="D12" s="30">
        <v>81</v>
      </c>
      <c r="E12" s="51"/>
      <c r="F12" s="30">
        <f t="shared" si="0"/>
        <v>0</v>
      </c>
    </row>
    <row r="13" spans="1:6" ht="12.75" customHeight="1" x14ac:dyDescent="0.2">
      <c r="A13" s="162"/>
      <c r="B13" s="39" t="s">
        <v>67</v>
      </c>
      <c r="C13" s="39" t="s">
        <v>68</v>
      </c>
      <c r="D13" s="30">
        <v>106</v>
      </c>
      <c r="E13" s="51"/>
      <c r="F13" s="30">
        <f t="shared" si="0"/>
        <v>0</v>
      </c>
    </row>
    <row r="14" spans="1:6" ht="12.75" customHeight="1" x14ac:dyDescent="0.2">
      <c r="A14" s="163" t="s">
        <v>38</v>
      </c>
      <c r="B14" s="27" t="s">
        <v>12</v>
      </c>
      <c r="C14" s="27" t="s">
        <v>13</v>
      </c>
      <c r="D14" s="28">
        <f>'1'!D10</f>
        <v>149</v>
      </c>
      <c r="E14" s="53"/>
      <c r="F14" s="28">
        <f t="shared" si="0"/>
        <v>0</v>
      </c>
    </row>
    <row r="15" spans="1:6" ht="12.75" customHeight="1" x14ac:dyDescent="0.2">
      <c r="A15" s="163"/>
      <c r="B15" s="60" t="s">
        <v>35</v>
      </c>
      <c r="C15" s="61" t="s">
        <v>36</v>
      </c>
      <c r="D15" s="28">
        <f>'1'!D11</f>
        <v>149</v>
      </c>
      <c r="E15" s="53"/>
      <c r="F15" s="28">
        <f>E15*D15</f>
        <v>0</v>
      </c>
    </row>
    <row r="16" spans="1:6" ht="12.75" customHeight="1" x14ac:dyDescent="0.2">
      <c r="A16" s="164" t="s">
        <v>41</v>
      </c>
      <c r="B16" s="65" t="s">
        <v>205</v>
      </c>
      <c r="C16" s="65" t="s">
        <v>206</v>
      </c>
      <c r="D16" s="30">
        <f>'1'!D12</f>
        <v>215</v>
      </c>
      <c r="E16" s="51"/>
      <c r="F16" s="30">
        <f t="shared" si="0"/>
        <v>0</v>
      </c>
    </row>
    <row r="17" spans="1:6" x14ac:dyDescent="0.2">
      <c r="A17" s="165"/>
      <c r="B17" s="65" t="s">
        <v>216</v>
      </c>
      <c r="C17" s="65" t="s">
        <v>210</v>
      </c>
      <c r="D17" s="30">
        <v>523</v>
      </c>
      <c r="E17" s="51"/>
      <c r="F17" s="30">
        <f t="shared" si="0"/>
        <v>0</v>
      </c>
    </row>
    <row r="18" spans="1:6" x14ac:dyDescent="0.2">
      <c r="A18" s="165"/>
      <c r="B18" s="29" t="s">
        <v>25</v>
      </c>
      <c r="C18" s="65" t="s">
        <v>211</v>
      </c>
      <c r="D18" s="30">
        <f>'1'!D13</f>
        <v>185</v>
      </c>
      <c r="E18" s="51"/>
      <c r="F18" s="30">
        <f t="shared" si="0"/>
        <v>0</v>
      </c>
    </row>
    <row r="19" spans="1:6" x14ac:dyDescent="0.2">
      <c r="A19" s="165"/>
      <c r="B19" s="42" t="s">
        <v>71</v>
      </c>
      <c r="C19" s="42" t="s">
        <v>72</v>
      </c>
      <c r="D19" s="30">
        <v>67</v>
      </c>
      <c r="E19" s="51"/>
      <c r="F19" s="30">
        <f t="shared" si="0"/>
        <v>0</v>
      </c>
    </row>
    <row r="20" spans="1:6" x14ac:dyDescent="0.2">
      <c r="A20" s="165"/>
      <c r="B20" s="42" t="s">
        <v>217</v>
      </c>
      <c r="C20" s="42" t="s">
        <v>218</v>
      </c>
      <c r="D20" s="30">
        <v>46</v>
      </c>
      <c r="E20" s="51"/>
      <c r="F20" s="30">
        <f t="shared" si="0"/>
        <v>0</v>
      </c>
    </row>
    <row r="21" spans="1:6" x14ac:dyDescent="0.2">
      <c r="A21" s="166"/>
      <c r="B21" s="42" t="s">
        <v>73</v>
      </c>
      <c r="C21" s="42" t="s">
        <v>74</v>
      </c>
      <c r="D21" s="30">
        <v>294</v>
      </c>
      <c r="E21" s="51"/>
      <c r="F21" s="30">
        <f t="shared" si="0"/>
        <v>0</v>
      </c>
    </row>
    <row r="22" spans="1:6" ht="12.75" customHeight="1" x14ac:dyDescent="0.2">
      <c r="A22" s="169" t="s">
        <v>107</v>
      </c>
      <c r="B22" s="63" t="s">
        <v>77</v>
      </c>
      <c r="C22" s="63" t="s">
        <v>111</v>
      </c>
      <c r="D22" s="64">
        <v>95</v>
      </c>
      <c r="E22" s="79"/>
      <c r="F22" s="64">
        <f t="shared" si="0"/>
        <v>0</v>
      </c>
    </row>
    <row r="23" spans="1:6" x14ac:dyDescent="0.2">
      <c r="A23" s="169"/>
      <c r="B23" s="63" t="s">
        <v>112</v>
      </c>
      <c r="C23" s="63" t="s">
        <v>113</v>
      </c>
      <c r="D23" s="64">
        <v>126</v>
      </c>
      <c r="E23" s="79"/>
      <c r="F23" s="64">
        <f t="shared" si="0"/>
        <v>0</v>
      </c>
    </row>
    <row r="24" spans="1:6" ht="12.75" customHeight="1" x14ac:dyDescent="0.2">
      <c r="A24" s="170" t="s">
        <v>42</v>
      </c>
      <c r="B24" s="29" t="s">
        <v>17</v>
      </c>
      <c r="C24" s="29" t="s">
        <v>18</v>
      </c>
      <c r="D24" s="30">
        <f>'1'!D14</f>
        <v>30</v>
      </c>
      <c r="E24" s="52">
        <f>ROUNDUP((E4+E6+E8+E14+E15)/5,0)</f>
        <v>0</v>
      </c>
      <c r="F24" s="30">
        <f t="shared" si="0"/>
        <v>0</v>
      </c>
    </row>
    <row r="25" spans="1:6" x14ac:dyDescent="0.2">
      <c r="A25" s="170"/>
      <c r="B25" s="42" t="s">
        <v>22</v>
      </c>
      <c r="C25" s="42" t="s">
        <v>23</v>
      </c>
      <c r="D25" s="30">
        <f>'1'!D15</f>
        <v>60</v>
      </c>
      <c r="E25" s="51"/>
      <c r="F25" s="30">
        <f t="shared" si="0"/>
        <v>0</v>
      </c>
    </row>
    <row r="26" spans="1:6" x14ac:dyDescent="0.2">
      <c r="A26" s="170"/>
      <c r="B26" s="42" t="s">
        <v>207</v>
      </c>
      <c r="C26" s="42" t="s">
        <v>208</v>
      </c>
      <c r="D26" s="30">
        <f>'1'!D16</f>
        <v>30</v>
      </c>
      <c r="E26" s="51"/>
      <c r="F26" s="30">
        <f t="shared" si="0"/>
        <v>0</v>
      </c>
    </row>
    <row r="27" spans="1:6" x14ac:dyDescent="0.2">
      <c r="A27" s="170"/>
      <c r="B27" s="42" t="s">
        <v>102</v>
      </c>
      <c r="C27" s="42" t="s">
        <v>103</v>
      </c>
      <c r="D27" s="30">
        <v>25</v>
      </c>
      <c r="E27" s="51"/>
      <c r="F27" s="30">
        <f>E27*D27</f>
        <v>0</v>
      </c>
    </row>
    <row r="28" spans="1:6" ht="12.75" customHeight="1" x14ac:dyDescent="0.2">
      <c r="A28" s="170"/>
      <c r="B28" s="65" t="s">
        <v>182</v>
      </c>
      <c r="C28" s="42" t="s">
        <v>24</v>
      </c>
      <c r="D28" s="30">
        <f>'1'!D18</f>
        <v>24</v>
      </c>
      <c r="E28" s="52">
        <f>E27</f>
        <v>0</v>
      </c>
      <c r="F28" s="30">
        <f t="shared" si="0"/>
        <v>0</v>
      </c>
    </row>
    <row r="29" spans="1:6" x14ac:dyDescent="0.2">
      <c r="A29" s="170"/>
      <c r="B29" s="29" t="s">
        <v>75</v>
      </c>
      <c r="C29" s="42" t="s">
        <v>76</v>
      </c>
      <c r="D29" s="30">
        <v>21</v>
      </c>
      <c r="E29" s="51"/>
      <c r="F29" s="30">
        <f t="shared" si="0"/>
        <v>0</v>
      </c>
    </row>
    <row r="30" spans="1:6" ht="12.75" customHeight="1" x14ac:dyDescent="0.2">
      <c r="A30" s="171" t="s">
        <v>44</v>
      </c>
      <c r="B30" s="108" t="s">
        <v>183</v>
      </c>
      <c r="C30" s="63" t="s">
        <v>212</v>
      </c>
      <c r="D30" s="64">
        <f>'1'!D20</f>
        <v>179</v>
      </c>
      <c r="E30" s="79"/>
      <c r="F30" s="64">
        <f t="shared" si="0"/>
        <v>0</v>
      </c>
    </row>
    <row r="31" spans="1:6" ht="12.75" customHeight="1" x14ac:dyDescent="0.2">
      <c r="A31" s="171"/>
      <c r="B31" s="108" t="s">
        <v>184</v>
      </c>
      <c r="C31" s="63" t="s">
        <v>213</v>
      </c>
      <c r="D31" s="64">
        <f>'1'!D21</f>
        <v>179</v>
      </c>
      <c r="E31" s="79"/>
      <c r="F31" s="64">
        <f t="shared" si="0"/>
        <v>0</v>
      </c>
    </row>
    <row r="32" spans="1:6" ht="12.75" customHeight="1" x14ac:dyDescent="0.2">
      <c r="A32" s="167" t="s">
        <v>45</v>
      </c>
      <c r="B32" s="29" t="s">
        <v>48</v>
      </c>
      <c r="C32" s="42" t="s">
        <v>49</v>
      </c>
      <c r="D32" s="30">
        <f>'1'!D22</f>
        <v>189</v>
      </c>
      <c r="E32" s="51"/>
      <c r="F32" s="30">
        <f t="shared" si="0"/>
        <v>0</v>
      </c>
    </row>
    <row r="33" spans="1:6" ht="12.75" customHeight="1" x14ac:dyDescent="0.2">
      <c r="A33" s="167"/>
      <c r="B33" s="29" t="s">
        <v>50</v>
      </c>
      <c r="C33" s="42" t="s">
        <v>51</v>
      </c>
      <c r="D33" s="30">
        <f>'1'!D23</f>
        <v>189</v>
      </c>
      <c r="E33" s="51"/>
      <c r="F33" s="30">
        <f t="shared" si="0"/>
        <v>0</v>
      </c>
    </row>
    <row r="34" spans="1:6" ht="12.75" customHeight="1" x14ac:dyDescent="0.2">
      <c r="A34" s="171" t="s">
        <v>43</v>
      </c>
      <c r="B34" s="63" t="s">
        <v>39</v>
      </c>
      <c r="C34" s="63" t="s">
        <v>40</v>
      </c>
      <c r="D34" s="64">
        <f>'1'!D24</f>
        <v>299</v>
      </c>
      <c r="E34" s="79"/>
      <c r="F34" s="64">
        <f t="shared" si="0"/>
        <v>0</v>
      </c>
    </row>
    <row r="35" spans="1:6" x14ac:dyDescent="0.2">
      <c r="A35" s="171"/>
      <c r="B35" s="63" t="s">
        <v>108</v>
      </c>
      <c r="C35" s="63" t="s">
        <v>110</v>
      </c>
      <c r="D35" s="64">
        <f>'1'!D25</f>
        <v>299</v>
      </c>
      <c r="E35" s="79"/>
      <c r="F35" s="64">
        <f t="shared" si="0"/>
        <v>0</v>
      </c>
    </row>
    <row r="36" spans="1:6" ht="12.75" customHeight="1" x14ac:dyDescent="0.2">
      <c r="A36" s="167" t="s">
        <v>137</v>
      </c>
      <c r="B36" s="42" t="s">
        <v>141</v>
      </c>
      <c r="C36" s="42" t="s">
        <v>142</v>
      </c>
      <c r="D36" s="30">
        <v>44</v>
      </c>
      <c r="E36" s="51"/>
      <c r="F36" s="30">
        <f t="shared" si="0"/>
        <v>0</v>
      </c>
    </row>
    <row r="37" spans="1:6" x14ac:dyDescent="0.2">
      <c r="A37" s="167"/>
      <c r="B37" s="42" t="s">
        <v>140</v>
      </c>
      <c r="C37" s="42" t="s">
        <v>143</v>
      </c>
      <c r="D37" s="30">
        <v>78</v>
      </c>
      <c r="E37" s="51"/>
      <c r="F37" s="30">
        <f t="shared" si="0"/>
        <v>0</v>
      </c>
    </row>
    <row r="38" spans="1:6" x14ac:dyDescent="0.2">
      <c r="A38" s="167"/>
      <c r="B38" s="42" t="s">
        <v>139</v>
      </c>
      <c r="C38" s="42" t="s">
        <v>144</v>
      </c>
      <c r="D38" s="30">
        <v>235</v>
      </c>
      <c r="E38" s="51"/>
      <c r="F38" s="30">
        <f t="shared" si="0"/>
        <v>0</v>
      </c>
    </row>
    <row r="39" spans="1:6" x14ac:dyDescent="0.2">
      <c r="A39" s="167"/>
      <c r="B39" s="42" t="s">
        <v>138</v>
      </c>
      <c r="C39" s="42" t="s">
        <v>145</v>
      </c>
      <c r="D39" s="30">
        <v>235</v>
      </c>
      <c r="E39" s="51"/>
      <c r="F39" s="30">
        <f t="shared" si="0"/>
        <v>0</v>
      </c>
    </row>
    <row r="40" spans="1:6" ht="15.75" x14ac:dyDescent="0.25">
      <c r="A40" s="168" t="s">
        <v>16</v>
      </c>
      <c r="B40" s="168"/>
      <c r="C40" s="168"/>
      <c r="D40" s="168"/>
      <c r="E40" s="168"/>
      <c r="F40" s="4">
        <f>SUM(F2:F39)</f>
        <v>0</v>
      </c>
    </row>
    <row r="43" spans="1:6" x14ac:dyDescent="0.2">
      <c r="B43" s="55" t="s">
        <v>52</v>
      </c>
      <c r="C43" s="37">
        <f>SUM(E4:E10)+SUM(E14:E15)+SUM(E16:E18)+E19+E22+E23</f>
        <v>0</v>
      </c>
    </row>
    <row r="44" spans="1:6" x14ac:dyDescent="0.2">
      <c r="B44" s="55" t="s">
        <v>53</v>
      </c>
      <c r="C44" s="37">
        <f>(0.1*SUM(E4:E10))+(0.03*E14)+(0.075*E15)+(0.25*E16)+(0.075*SUM(E18:E18))+(0.06*E32)+(0.1*E33)+(0.125*E30)+(0.15*E31)+((0.05*E22)+(0.05*E23)+0.5*E17)</f>
        <v>0</v>
      </c>
    </row>
    <row r="45" spans="1:6" x14ac:dyDescent="0.2">
      <c r="B45" s="55" t="s">
        <v>54</v>
      </c>
      <c r="C45" s="66" t="str">
        <f>IF(OR(((E34*10)+(E35*6)-1)&gt;C44,C44=0),"OK", "More Power")</f>
        <v>OK</v>
      </c>
    </row>
    <row r="46" spans="1:6" x14ac:dyDescent="0.2">
      <c r="B46" s="67" t="s">
        <v>55</v>
      </c>
      <c r="C46" s="40" t="str">
        <f>IF(IF(AND((E4+E5+E8+E9+E10)=0,(E6+E7+E14+E16+E17+E18+E10+E22+E30+E32)=0),0,(E6+E7+E14+E16+E17+E18+E10+E22+E30+E32)/(E4+E5+E8+E9+E10)&gt;15),"Too Many","OK")</f>
        <v>OK</v>
      </c>
    </row>
    <row r="47" spans="1:6" x14ac:dyDescent="0.2">
      <c r="A47" s="22"/>
      <c r="B47" s="71" t="s">
        <v>135</v>
      </c>
      <c r="C47" s="72" t="str">
        <f>IF(IF(E6+E7=0,0,(E6+E7)/(E4+E5+E8+E9+E10)&gt;7),"Too Many","OK")</f>
        <v>OK</v>
      </c>
    </row>
  </sheetData>
  <mergeCells count="13">
    <mergeCell ref="A1:F1"/>
    <mergeCell ref="A4:A9"/>
    <mergeCell ref="A14:A15"/>
    <mergeCell ref="A30:A31"/>
    <mergeCell ref="A2:F2"/>
    <mergeCell ref="A40:E40"/>
    <mergeCell ref="A32:A33"/>
    <mergeCell ref="A10:A13"/>
    <mergeCell ref="A22:A23"/>
    <mergeCell ref="A24:A29"/>
    <mergeCell ref="A34:A35"/>
    <mergeCell ref="A36:A39"/>
    <mergeCell ref="A16:A21"/>
  </mergeCells>
  <phoneticPr fontId="1" type="noConversion"/>
  <conditionalFormatting sqref="C45">
    <cfRule type="cellIs" dxfId="6" priority="6" stopIfTrue="1" operator="equal">
      <formula>"OK"</formula>
    </cfRule>
    <cfRule type="cellIs" dxfId="5" priority="7" stopIfTrue="1" operator="equal">
      <formula>"More Power"</formula>
    </cfRule>
  </conditionalFormatting>
  <conditionalFormatting sqref="C46">
    <cfRule type="cellIs" dxfId="4" priority="3" stopIfTrue="1" operator="equal">
      <formula>#DIV/0!</formula>
    </cfRule>
    <cfRule type="cellIs" dxfId="3" priority="4" stopIfTrue="1" operator="equal">
      <formula>"OK"</formula>
    </cfRule>
    <cfRule type="cellIs" dxfId="2" priority="5" stopIfTrue="1" operator="equal">
      <formula>"Too Many"</formula>
    </cfRule>
  </conditionalFormatting>
  <conditionalFormatting sqref="C47">
    <cfRule type="cellIs" dxfId="1" priority="1" operator="equal">
      <formula>"OK"</formula>
    </cfRule>
    <cfRule type="cellIs" dxfId="0" priority="2" operator="equal">
      <formula>"Too Many"</formula>
    </cfRule>
  </conditionalFormatting>
  <pageMargins left="0.7" right="0.7" top="0.75" bottom="0.75" header="0.3" footer="0.3"/>
  <pageSetup scale="70" fitToHeight="0"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pageSetUpPr fitToPage="1"/>
  </sheetPr>
  <dimension ref="A1:D27"/>
  <sheetViews>
    <sheetView topLeftCell="A4" workbookViewId="0">
      <selection sqref="A1:D1"/>
    </sheetView>
  </sheetViews>
  <sheetFormatPr baseColWidth="10" defaultColWidth="9.140625" defaultRowHeight="12.75" x14ac:dyDescent="0.2"/>
  <cols>
    <col min="1" max="1" width="20.42578125" bestFit="1" customWidth="1"/>
    <col min="2" max="2" width="94.5703125" customWidth="1"/>
  </cols>
  <sheetData>
    <row r="1" spans="1:4" ht="15" x14ac:dyDescent="0.2">
      <c r="A1" s="195" t="s">
        <v>146</v>
      </c>
      <c r="B1" s="195"/>
      <c r="C1" s="195"/>
      <c r="D1" s="195"/>
    </row>
    <row r="2" spans="1:4" ht="15" x14ac:dyDescent="0.2">
      <c r="A2" s="195" t="s">
        <v>5</v>
      </c>
      <c r="B2" s="195"/>
      <c r="C2" s="195"/>
      <c r="D2" s="195"/>
    </row>
    <row r="3" spans="1:4" ht="14.25" x14ac:dyDescent="0.2">
      <c r="A3" s="5" t="s">
        <v>190</v>
      </c>
      <c r="B3" s="6"/>
      <c r="C3" s="7"/>
      <c r="D3" s="8"/>
    </row>
    <row r="4" spans="1:4" ht="14.25" x14ac:dyDescent="0.2">
      <c r="A4" s="9"/>
      <c r="B4" s="10" t="s">
        <v>147</v>
      </c>
      <c r="C4" s="11"/>
      <c r="D4" s="12"/>
    </row>
    <row r="5" spans="1:4" ht="14.25" x14ac:dyDescent="0.2">
      <c r="A5" s="13" t="s">
        <v>6</v>
      </c>
      <c r="B5" s="6"/>
      <c r="C5" s="7"/>
      <c r="D5" s="8"/>
    </row>
    <row r="6" spans="1:4" ht="128.25" x14ac:dyDescent="0.2">
      <c r="A6" s="14"/>
      <c r="B6" s="15" t="s">
        <v>283</v>
      </c>
      <c r="C6" s="16"/>
      <c r="D6" s="8"/>
    </row>
    <row r="7" spans="1:4" ht="14.25" x14ac:dyDescent="0.2">
      <c r="A7" s="17"/>
      <c r="B7" s="17"/>
      <c r="C7" s="18"/>
      <c r="D7" s="19"/>
    </row>
    <row r="8" spans="1:4" x14ac:dyDescent="0.2">
      <c r="A8" s="19"/>
    </row>
    <row r="9" spans="1:4" x14ac:dyDescent="0.2">
      <c r="A9" s="19"/>
    </row>
    <row r="10" spans="1:4" x14ac:dyDescent="0.2">
      <c r="A10" s="20"/>
    </row>
    <row r="11" spans="1:4" x14ac:dyDescent="0.2">
      <c r="A11" s="20"/>
    </row>
    <row r="12" spans="1:4" x14ac:dyDescent="0.2">
      <c r="A12" s="20"/>
    </row>
    <row r="13" spans="1:4" x14ac:dyDescent="0.2">
      <c r="A13" s="20"/>
    </row>
    <row r="14" spans="1:4" x14ac:dyDescent="0.2">
      <c r="A14" s="20"/>
    </row>
    <row r="15" spans="1:4" x14ac:dyDescent="0.2">
      <c r="A15" s="20"/>
    </row>
    <row r="16" spans="1:4" x14ac:dyDescent="0.2">
      <c r="A16" s="20"/>
    </row>
    <row r="17" spans="1:4" x14ac:dyDescent="0.2">
      <c r="A17" s="20"/>
    </row>
    <row r="18" spans="1:4" x14ac:dyDescent="0.2">
      <c r="A18" s="20"/>
    </row>
    <row r="19" spans="1:4" x14ac:dyDescent="0.2">
      <c r="A19" s="20"/>
    </row>
    <row r="20" spans="1:4" x14ac:dyDescent="0.2">
      <c r="A20" s="20"/>
    </row>
    <row r="21" spans="1:4" x14ac:dyDescent="0.2">
      <c r="A21" s="20"/>
    </row>
    <row r="22" spans="1:4" x14ac:dyDescent="0.2">
      <c r="A22" s="20"/>
    </row>
    <row r="23" spans="1:4" x14ac:dyDescent="0.2">
      <c r="A23" s="21"/>
    </row>
    <row r="24" spans="1:4" x14ac:dyDescent="0.2">
      <c r="A24" s="21"/>
    </row>
    <row r="25" spans="1:4" x14ac:dyDescent="0.2">
      <c r="A25" s="21"/>
      <c r="B25" s="21"/>
      <c r="C25" s="21"/>
      <c r="D25" s="21"/>
    </row>
    <row r="26" spans="1:4" x14ac:dyDescent="0.2">
      <c r="A26" s="21"/>
      <c r="B26" s="21"/>
      <c r="C26" s="21"/>
      <c r="D26" s="21"/>
    </row>
    <row r="27" spans="1:4" x14ac:dyDescent="0.2">
      <c r="A27" s="21"/>
      <c r="B27" s="21"/>
      <c r="C27" s="21"/>
      <c r="D27" s="21"/>
    </row>
  </sheetData>
  <sheetProtection password="C4C4" sheet="1" objects="1" scenarios="1"/>
  <mergeCells count="2">
    <mergeCell ref="A1:D1"/>
    <mergeCell ref="A2:D2"/>
  </mergeCells>
  <phoneticPr fontId="1" type="noConversion"/>
  <pageMargins left="0.7" right="0.7" top="0.75" bottom="0.75" header="0.3" footer="0.3"/>
  <pageSetup scale="6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8"/>
  <sheetViews>
    <sheetView topLeftCell="A16" workbookViewId="0">
      <selection activeCell="H31" sqref="H31"/>
    </sheetView>
  </sheetViews>
  <sheetFormatPr baseColWidth="10" defaultColWidth="9.140625" defaultRowHeight="12.75" x14ac:dyDescent="0.2"/>
  <cols>
    <col min="1" max="1" width="9.140625" bestFit="1" customWidth="1"/>
    <col min="2" max="2" width="16.42578125" customWidth="1"/>
    <col min="3" max="3" width="66" customWidth="1"/>
    <col min="4" max="4" width="9.140625" style="3"/>
    <col min="5" max="5" width="8.5703125" bestFit="1" customWidth="1"/>
    <col min="6" max="6" width="21.42578125" style="3" customWidth="1"/>
    <col min="8" max="8" width="17.42578125" bestFit="1" customWidth="1"/>
    <col min="9" max="9" width="8" bestFit="1" customWidth="1"/>
  </cols>
  <sheetData>
    <row r="1" spans="1:6" ht="18" x14ac:dyDescent="0.25">
      <c r="A1" s="160" t="s">
        <v>185</v>
      </c>
      <c r="B1" s="160"/>
      <c r="C1" s="160"/>
      <c r="D1" s="160"/>
      <c r="E1" s="160"/>
      <c r="F1" s="160"/>
    </row>
    <row r="2" spans="1:6" x14ac:dyDescent="0.2">
      <c r="A2" s="124" t="s">
        <v>9</v>
      </c>
      <c r="B2" s="124"/>
      <c r="C2" s="124"/>
      <c r="D2" s="124"/>
      <c r="E2" s="124"/>
      <c r="F2" s="124"/>
    </row>
    <row r="3" spans="1:6" ht="12.75" customHeight="1" x14ac:dyDescent="0.2">
      <c r="A3" s="83" t="s">
        <v>116</v>
      </c>
      <c r="B3" s="83" t="s">
        <v>117</v>
      </c>
      <c r="C3" s="83" t="s">
        <v>0</v>
      </c>
      <c r="D3" s="83" t="s">
        <v>118</v>
      </c>
      <c r="E3" s="83" t="s">
        <v>119</v>
      </c>
      <c r="F3" s="83" t="s">
        <v>3</v>
      </c>
    </row>
    <row r="4" spans="1:6" x14ac:dyDescent="0.2">
      <c r="A4" s="161" t="s">
        <v>37</v>
      </c>
      <c r="B4" s="82" t="s">
        <v>10</v>
      </c>
      <c r="C4" s="82" t="s">
        <v>30</v>
      </c>
      <c r="D4" s="2">
        <f>MISC!D4</f>
        <v>279</v>
      </c>
      <c r="E4" s="82">
        <f>'1'!E4+'2'!E4+'3'!E4+'4'!E4+'5'!E4+'6'!E4+'7'!E4+'8'!E4+'9'!E4+'10'!E4+'11'!E4+'12'!E4+'13'!E4+MISC!E4</f>
        <v>0</v>
      </c>
      <c r="F4" s="2">
        <f t="shared" ref="F4:F39" si="0">E4*D4</f>
        <v>0</v>
      </c>
    </row>
    <row r="5" spans="1:6" x14ac:dyDescent="0.2">
      <c r="A5" s="161"/>
      <c r="B5" s="66" t="s">
        <v>179</v>
      </c>
      <c r="C5" s="82" t="s">
        <v>31</v>
      </c>
      <c r="D5" s="2">
        <f>MISC!D5</f>
        <v>279</v>
      </c>
      <c r="E5" s="82">
        <v>52</v>
      </c>
      <c r="F5" s="2">
        <f t="shared" si="0"/>
        <v>14508</v>
      </c>
    </row>
    <row r="6" spans="1:6" x14ac:dyDescent="0.2">
      <c r="A6" s="161"/>
      <c r="B6" s="82" t="s">
        <v>32</v>
      </c>
      <c r="C6" s="82" t="s">
        <v>33</v>
      </c>
      <c r="D6" s="2">
        <f>MISC!D6</f>
        <v>279</v>
      </c>
      <c r="E6" s="82">
        <f>'1'!E6+'2'!E6+'3'!E6+'4'!E6+'5'!E6+'6'!E6+'7'!E6+'8'!E6+'9'!E6+'10'!E6+'11'!E6+'12'!E6+'13'!E6+MISC!E6</f>
        <v>0</v>
      </c>
      <c r="F6" s="2">
        <f t="shared" si="0"/>
        <v>0</v>
      </c>
    </row>
    <row r="7" spans="1:6" x14ac:dyDescent="0.2">
      <c r="A7" s="161"/>
      <c r="B7" s="66" t="s">
        <v>180</v>
      </c>
      <c r="C7" s="82" t="s">
        <v>34</v>
      </c>
      <c r="D7" s="2">
        <f>MISC!D7</f>
        <v>279</v>
      </c>
      <c r="E7" s="82">
        <v>0</v>
      </c>
      <c r="F7" s="2">
        <f t="shared" si="0"/>
        <v>0</v>
      </c>
    </row>
    <row r="8" spans="1:6" x14ac:dyDescent="0.2">
      <c r="A8" s="161"/>
      <c r="B8" s="101" t="s">
        <v>28</v>
      </c>
      <c r="C8" s="57" t="s">
        <v>27</v>
      </c>
      <c r="D8" s="2">
        <f>MISC!D8</f>
        <v>427</v>
      </c>
      <c r="E8" s="82">
        <v>0</v>
      </c>
      <c r="F8" s="2">
        <f t="shared" si="0"/>
        <v>0</v>
      </c>
    </row>
    <row r="9" spans="1:6" ht="12.75" customHeight="1" x14ac:dyDescent="0.2">
      <c r="A9" s="161"/>
      <c r="B9" s="101" t="s">
        <v>181</v>
      </c>
      <c r="C9" s="57" t="s">
        <v>29</v>
      </c>
      <c r="D9" s="2">
        <f>MISC!D9</f>
        <v>482</v>
      </c>
      <c r="E9" s="82">
        <v>0</v>
      </c>
      <c r="F9" s="2">
        <f t="shared" si="0"/>
        <v>0</v>
      </c>
    </row>
    <row r="10" spans="1:6" x14ac:dyDescent="0.2">
      <c r="A10" s="162" t="s">
        <v>70</v>
      </c>
      <c r="B10" s="59" t="s">
        <v>60</v>
      </c>
      <c r="C10" s="58" t="s">
        <v>62</v>
      </c>
      <c r="D10" s="30">
        <f>MISC!D10</f>
        <v>497</v>
      </c>
      <c r="E10" s="29">
        <v>0</v>
      </c>
      <c r="F10" s="30">
        <f t="shared" si="0"/>
        <v>0</v>
      </c>
    </row>
    <row r="11" spans="1:6" x14ac:dyDescent="0.2">
      <c r="A11" s="162"/>
      <c r="B11" s="39" t="s">
        <v>63</v>
      </c>
      <c r="C11" s="39" t="s">
        <v>64</v>
      </c>
      <c r="D11" s="30">
        <f>MISC!D11</f>
        <v>41</v>
      </c>
      <c r="E11" s="29">
        <v>0</v>
      </c>
      <c r="F11" s="30">
        <f t="shared" si="0"/>
        <v>0</v>
      </c>
    </row>
    <row r="12" spans="1:6" x14ac:dyDescent="0.2">
      <c r="A12" s="162"/>
      <c r="B12" s="39" t="s">
        <v>65</v>
      </c>
      <c r="C12" s="39" t="s">
        <v>66</v>
      </c>
      <c r="D12" s="30">
        <f>MISC!D12</f>
        <v>81</v>
      </c>
      <c r="E12" s="29">
        <f>MISC!E12+OUT!E6</f>
        <v>0</v>
      </c>
      <c r="F12" s="30">
        <f t="shared" si="0"/>
        <v>0</v>
      </c>
    </row>
    <row r="13" spans="1:6" ht="12.75" customHeight="1" x14ac:dyDescent="0.2">
      <c r="A13" s="162"/>
      <c r="B13" s="39" t="s">
        <v>67</v>
      </c>
      <c r="C13" s="39" t="s">
        <v>68</v>
      </c>
      <c r="D13" s="30">
        <f>MISC!D13</f>
        <v>106</v>
      </c>
      <c r="E13" s="29">
        <f>MISC!E13+OUT!E7</f>
        <v>0</v>
      </c>
      <c r="F13" s="30">
        <f t="shared" si="0"/>
        <v>0</v>
      </c>
    </row>
    <row r="14" spans="1:6" x14ac:dyDescent="0.2">
      <c r="A14" s="163" t="s">
        <v>38</v>
      </c>
      <c r="B14" s="27" t="s">
        <v>12</v>
      </c>
      <c r="C14" s="27" t="s">
        <v>13</v>
      </c>
      <c r="D14" s="2">
        <f>MISC!D14</f>
        <v>149</v>
      </c>
      <c r="E14" s="27">
        <f>'1'!E10+'2'!E10+'3'!E10+'4'!E10+'5'!E10+'6'!E10+'7'!E10+'8'!E10+'9'!E10+'10'!E10+'11'!E10+'12'!E10+'13'!E10+MISC!E14</f>
        <v>0</v>
      </c>
      <c r="F14" s="28">
        <f t="shared" si="0"/>
        <v>0</v>
      </c>
    </row>
    <row r="15" spans="1:6" ht="12.75" customHeight="1" x14ac:dyDescent="0.2">
      <c r="A15" s="163"/>
      <c r="B15" s="60" t="s">
        <v>35</v>
      </c>
      <c r="C15" s="61" t="s">
        <v>36</v>
      </c>
      <c r="D15" s="2">
        <f>MISC!D15</f>
        <v>149</v>
      </c>
      <c r="E15" s="27">
        <f>'1'!E11+'2'!E11+'3'!E11+'4'!E11+'5'!E11+'6'!E11+'7'!E11+'8'!E11+'9'!E11+'10'!E11+'11'!E11+'12'!E11+'13'!E11+MISC!E15</f>
        <v>0</v>
      </c>
      <c r="F15" s="28">
        <f>E15*D15</f>
        <v>0</v>
      </c>
    </row>
    <row r="16" spans="1:6" ht="12.75" customHeight="1" x14ac:dyDescent="0.2">
      <c r="A16" s="164" t="s">
        <v>41</v>
      </c>
      <c r="B16" s="65" t="s">
        <v>205</v>
      </c>
      <c r="C16" s="65" t="s">
        <v>206</v>
      </c>
      <c r="D16" s="30">
        <f>MISC!D16</f>
        <v>215</v>
      </c>
      <c r="E16" s="29">
        <v>26</v>
      </c>
      <c r="F16" s="30">
        <f t="shared" si="0"/>
        <v>5590</v>
      </c>
    </row>
    <row r="17" spans="1:6" x14ac:dyDescent="0.2">
      <c r="A17" s="165"/>
      <c r="B17" s="65" t="s">
        <v>209</v>
      </c>
      <c r="C17" s="65" t="s">
        <v>210</v>
      </c>
      <c r="D17" s="30">
        <f>MISC!D17</f>
        <v>523</v>
      </c>
      <c r="E17" s="29">
        <f>MISC!E17+OUT!E8</f>
        <v>0</v>
      </c>
      <c r="F17" s="30">
        <f t="shared" si="0"/>
        <v>0</v>
      </c>
    </row>
    <row r="18" spans="1:6" x14ac:dyDescent="0.2">
      <c r="A18" s="165"/>
      <c r="B18" s="29" t="s">
        <v>25</v>
      </c>
      <c r="C18" s="29" t="s">
        <v>26</v>
      </c>
      <c r="D18" s="30">
        <f>MISC!D18</f>
        <v>185</v>
      </c>
      <c r="E18" s="29">
        <v>0</v>
      </c>
      <c r="F18" s="30">
        <f t="shared" si="0"/>
        <v>0</v>
      </c>
    </row>
    <row r="19" spans="1:6" x14ac:dyDescent="0.2">
      <c r="A19" s="165"/>
      <c r="B19" s="42" t="s">
        <v>71</v>
      </c>
      <c r="C19" s="42" t="s">
        <v>72</v>
      </c>
      <c r="D19" s="30">
        <f>MISC!D19</f>
        <v>67</v>
      </c>
      <c r="E19" s="29">
        <f>MISC!E19</f>
        <v>0</v>
      </c>
      <c r="F19" s="30">
        <f t="shared" si="0"/>
        <v>0</v>
      </c>
    </row>
    <row r="20" spans="1:6" x14ac:dyDescent="0.2">
      <c r="A20" s="165"/>
      <c r="B20" s="42" t="s">
        <v>217</v>
      </c>
      <c r="C20" s="42" t="s">
        <v>218</v>
      </c>
      <c r="D20" s="30">
        <f>MISC!D20</f>
        <v>46</v>
      </c>
      <c r="E20" s="29">
        <f>MISC!E20+OUT!E9</f>
        <v>0</v>
      </c>
      <c r="F20" s="30">
        <f t="shared" si="0"/>
        <v>0</v>
      </c>
    </row>
    <row r="21" spans="1:6" x14ac:dyDescent="0.2">
      <c r="A21" s="166"/>
      <c r="B21" s="42" t="s">
        <v>73</v>
      </c>
      <c r="C21" s="42" t="s">
        <v>74</v>
      </c>
      <c r="D21" s="30">
        <f>MISC!D21</f>
        <v>294</v>
      </c>
      <c r="E21" s="29">
        <f>MISC!E21</f>
        <v>0</v>
      </c>
      <c r="F21" s="30">
        <f t="shared" si="0"/>
        <v>0</v>
      </c>
    </row>
    <row r="22" spans="1:6" ht="12.75" customHeight="1" x14ac:dyDescent="0.2">
      <c r="A22" s="169" t="s">
        <v>107</v>
      </c>
      <c r="B22" s="63" t="s">
        <v>77</v>
      </c>
      <c r="C22" s="63" t="s">
        <v>111</v>
      </c>
      <c r="D22" s="2">
        <f>MISC!D22</f>
        <v>95</v>
      </c>
      <c r="E22" s="62">
        <f>MISC!E22</f>
        <v>0</v>
      </c>
      <c r="F22" s="64">
        <f t="shared" si="0"/>
        <v>0</v>
      </c>
    </row>
    <row r="23" spans="1:6" x14ac:dyDescent="0.2">
      <c r="A23" s="169"/>
      <c r="B23" s="63" t="s">
        <v>112</v>
      </c>
      <c r="C23" s="63" t="s">
        <v>113</v>
      </c>
      <c r="D23" s="2">
        <f>MISC!D23</f>
        <v>126</v>
      </c>
      <c r="E23" s="62">
        <f>MISC!E23</f>
        <v>0</v>
      </c>
      <c r="F23" s="64">
        <f t="shared" si="0"/>
        <v>0</v>
      </c>
    </row>
    <row r="24" spans="1:6" x14ac:dyDescent="0.2">
      <c r="A24" s="170" t="s">
        <v>42</v>
      </c>
      <c r="B24" s="29" t="s">
        <v>17</v>
      </c>
      <c r="C24" s="29" t="s">
        <v>18</v>
      </c>
      <c r="D24" s="30">
        <f>MISC!D24</f>
        <v>30</v>
      </c>
      <c r="E24" s="91">
        <f>'1'!E14+'2'!E14+'3'!E14+'4'!E14+'5'!E14+'6'!E14+'7'!E14+'8'!E14+'9'!E14+'10'!E14+'11'!E14+'12'!E14+'13'!E14+MISC!E24</f>
        <v>0</v>
      </c>
      <c r="F24" s="30">
        <f t="shared" si="0"/>
        <v>0</v>
      </c>
    </row>
    <row r="25" spans="1:6" x14ac:dyDescent="0.2">
      <c r="A25" s="170"/>
      <c r="B25" s="42" t="s">
        <v>22</v>
      </c>
      <c r="C25" s="42" t="s">
        <v>23</v>
      </c>
      <c r="D25" s="30">
        <f>MISC!D25</f>
        <v>60</v>
      </c>
      <c r="E25" s="91">
        <f>'1'!E15+'2'!E15+'3'!E15+'4'!E15+'5'!E15+'6'!E15+'7'!E15+'8'!E15+'9'!E15+'10'!E15+'11'!E15+'12'!E15+'13'!E15+MISC!E25</f>
        <v>0</v>
      </c>
      <c r="F25" s="30">
        <f t="shared" si="0"/>
        <v>0</v>
      </c>
    </row>
    <row r="26" spans="1:6" x14ac:dyDescent="0.2">
      <c r="A26" s="170"/>
      <c r="B26" s="42" t="s">
        <v>207</v>
      </c>
      <c r="C26" s="42" t="s">
        <v>208</v>
      </c>
      <c r="D26" s="30">
        <f>MISC!D26</f>
        <v>30</v>
      </c>
      <c r="E26" s="91">
        <f>'1'!E16+'2'!E16+'3'!E16+'4'!E16+'5'!E16+'6'!E16+'7'!E16+'8'!E16+'9'!E16+'10'!E16+'11'!E16+'12'!E16+'13'!E16+MISC!E26</f>
        <v>0</v>
      </c>
      <c r="F26" s="30">
        <f t="shared" si="0"/>
        <v>0</v>
      </c>
    </row>
    <row r="27" spans="1:6" x14ac:dyDescent="0.2">
      <c r="A27" s="170"/>
      <c r="B27" s="42" t="s">
        <v>102</v>
      </c>
      <c r="C27" s="42" t="s">
        <v>103</v>
      </c>
      <c r="D27" s="30">
        <f>MISC!D27</f>
        <v>25</v>
      </c>
      <c r="E27" s="91">
        <v>78</v>
      </c>
      <c r="F27" s="30">
        <f>E27*D27</f>
        <v>1950</v>
      </c>
    </row>
    <row r="28" spans="1:6" ht="12.75" customHeight="1" x14ac:dyDescent="0.2">
      <c r="A28" s="170"/>
      <c r="B28" s="65" t="s">
        <v>182</v>
      </c>
      <c r="C28" s="42" t="s">
        <v>24</v>
      </c>
      <c r="D28" s="30">
        <f>MISC!D28</f>
        <v>24</v>
      </c>
      <c r="E28" s="91">
        <v>52</v>
      </c>
      <c r="F28" s="30">
        <f t="shared" si="0"/>
        <v>1248</v>
      </c>
    </row>
    <row r="29" spans="1:6" x14ac:dyDescent="0.2">
      <c r="A29" s="170"/>
      <c r="B29" s="29" t="s">
        <v>75</v>
      </c>
      <c r="C29" s="42" t="s">
        <v>76</v>
      </c>
      <c r="D29" s="30">
        <f>MISC!D29</f>
        <v>21</v>
      </c>
      <c r="E29" s="91">
        <f>MISC!E29</f>
        <v>0</v>
      </c>
      <c r="F29" s="30">
        <f t="shared" si="0"/>
        <v>0</v>
      </c>
    </row>
    <row r="30" spans="1:6" x14ac:dyDescent="0.2">
      <c r="A30" s="171" t="s">
        <v>44</v>
      </c>
      <c r="B30" s="108" t="s">
        <v>183</v>
      </c>
      <c r="C30" s="63" t="s">
        <v>46</v>
      </c>
      <c r="D30" s="2">
        <f>MISC!D30</f>
        <v>179</v>
      </c>
      <c r="E30" s="62">
        <f>'1'!E20+'2'!E20+'3'!E20+'4'!E20+'5'!E20+'6'!E20+'7'!E20+'8'!E20+'9'!E20+'10'!E20+'11'!E20+'12'!E20+'13'!E20+MISC!E30</f>
        <v>0</v>
      </c>
      <c r="F30" s="64">
        <f t="shared" si="0"/>
        <v>0</v>
      </c>
    </row>
    <row r="31" spans="1:6" ht="12.75" customHeight="1" x14ac:dyDescent="0.2">
      <c r="A31" s="171"/>
      <c r="B31" s="108" t="s">
        <v>184</v>
      </c>
      <c r="C31" s="63" t="s">
        <v>47</v>
      </c>
      <c r="D31" s="2">
        <f>MISC!D31</f>
        <v>179</v>
      </c>
      <c r="E31" s="62">
        <f>'1'!E21+'2'!E21+'3'!E21+'4'!E21+'5'!E21+'6'!E21+'7'!E21+'8'!E21+'9'!E21+'10'!E21+'11'!E21+'12'!E21+'13'!E21+MISC!E31</f>
        <v>0</v>
      </c>
      <c r="F31" s="64">
        <f t="shared" si="0"/>
        <v>0</v>
      </c>
    </row>
    <row r="32" spans="1:6" x14ac:dyDescent="0.2">
      <c r="A32" s="167" t="s">
        <v>45</v>
      </c>
      <c r="B32" s="29" t="s">
        <v>48</v>
      </c>
      <c r="C32" s="42" t="s">
        <v>49</v>
      </c>
      <c r="D32" s="30">
        <f>MISC!D32</f>
        <v>189</v>
      </c>
      <c r="E32" s="29">
        <f>'1'!E22+'2'!E22+'3'!E22+'4'!E22+'5'!E22+'6'!E22+'7'!E22+'8'!E22+'9'!E22+'10'!E22+'11'!E22+'12'!E22+'13'!E22+MISC!E32</f>
        <v>0</v>
      </c>
      <c r="F32" s="30">
        <f t="shared" si="0"/>
        <v>0</v>
      </c>
    </row>
    <row r="33" spans="1:6" ht="12.75" customHeight="1" x14ac:dyDescent="0.2">
      <c r="A33" s="167"/>
      <c r="B33" s="29" t="s">
        <v>50</v>
      </c>
      <c r="C33" s="42" t="s">
        <v>51</v>
      </c>
      <c r="D33" s="30">
        <f>MISC!D33</f>
        <v>189</v>
      </c>
      <c r="E33" s="29">
        <v>26</v>
      </c>
      <c r="F33" s="30">
        <f t="shared" si="0"/>
        <v>4914</v>
      </c>
    </row>
    <row r="34" spans="1:6" x14ac:dyDescent="0.2">
      <c r="A34" s="171" t="s">
        <v>43</v>
      </c>
      <c r="B34" s="63" t="s">
        <v>39</v>
      </c>
      <c r="C34" s="63" t="s">
        <v>40</v>
      </c>
      <c r="D34" s="2">
        <f>MISC!D34</f>
        <v>299</v>
      </c>
      <c r="E34" s="62">
        <v>1</v>
      </c>
      <c r="F34" s="64">
        <f t="shared" si="0"/>
        <v>299</v>
      </c>
    </row>
    <row r="35" spans="1:6" x14ac:dyDescent="0.2">
      <c r="A35" s="171"/>
      <c r="B35" s="63" t="s">
        <v>108</v>
      </c>
      <c r="C35" s="63" t="s">
        <v>110</v>
      </c>
      <c r="D35" s="2">
        <f>MISC!D35</f>
        <v>299</v>
      </c>
      <c r="E35" s="62">
        <f>'1'!E25+'2'!E25+'3'!E25+'4'!E25+'5'!E25+'6'!E25+'7'!E25+'8'!E25+'9'!E25+'10'!E25+'11'!E25+'12'!E25+'13'!E25+MISC!E35+OUT!E13</f>
        <v>0</v>
      </c>
      <c r="F35" s="64">
        <f t="shared" si="0"/>
        <v>0</v>
      </c>
    </row>
    <row r="36" spans="1:6" x14ac:dyDescent="0.2">
      <c r="A36" s="167" t="s">
        <v>137</v>
      </c>
      <c r="B36" s="42" t="s">
        <v>141</v>
      </c>
      <c r="C36" s="42" t="s">
        <v>142</v>
      </c>
      <c r="D36" s="30">
        <f>MISC!D36</f>
        <v>44</v>
      </c>
      <c r="E36" s="29">
        <f>'1'!E19+'2'!E19+'3'!E19+'4'!E19+'5'!E19+'6'!E19+'7'!E19+'8'!E19+'9'!E19+'10'!E19+'11'!E19+'12'!E19+'13'!E19+MISC!E36</f>
        <v>0</v>
      </c>
      <c r="F36" s="30">
        <f t="shared" si="0"/>
        <v>0</v>
      </c>
    </row>
    <row r="37" spans="1:6" x14ac:dyDescent="0.2">
      <c r="A37" s="167"/>
      <c r="B37" s="42" t="s">
        <v>140</v>
      </c>
      <c r="C37" s="42" t="s">
        <v>143</v>
      </c>
      <c r="D37" s="30">
        <f>MISC!D37</f>
        <v>78</v>
      </c>
      <c r="E37" s="29">
        <f>MISC!E37</f>
        <v>0</v>
      </c>
      <c r="F37" s="30">
        <f t="shared" si="0"/>
        <v>0</v>
      </c>
    </row>
    <row r="38" spans="1:6" x14ac:dyDescent="0.2">
      <c r="A38" s="167"/>
      <c r="B38" s="42" t="s">
        <v>139</v>
      </c>
      <c r="C38" s="42" t="s">
        <v>144</v>
      </c>
      <c r="D38" s="30">
        <f>MISC!D38</f>
        <v>235</v>
      </c>
      <c r="E38" s="29">
        <f>MISC!E38</f>
        <v>0</v>
      </c>
      <c r="F38" s="30">
        <f t="shared" si="0"/>
        <v>0</v>
      </c>
    </row>
    <row r="39" spans="1:6" x14ac:dyDescent="0.2">
      <c r="A39" s="167"/>
      <c r="B39" s="42" t="s">
        <v>138</v>
      </c>
      <c r="C39" s="42" t="s">
        <v>145</v>
      </c>
      <c r="D39" s="30">
        <f>MISC!D39</f>
        <v>235</v>
      </c>
      <c r="E39" s="29">
        <f>MISC!E39</f>
        <v>0</v>
      </c>
      <c r="F39" s="30">
        <f t="shared" si="0"/>
        <v>0</v>
      </c>
    </row>
    <row r="40" spans="1:6" ht="15.75" x14ac:dyDescent="0.25">
      <c r="A40" s="168" t="s">
        <v>16</v>
      </c>
      <c r="B40" s="168"/>
      <c r="C40" s="168"/>
      <c r="D40" s="168"/>
      <c r="E40" s="168"/>
      <c r="F40" s="4">
        <f>SUM(F2:F39)</f>
        <v>28509</v>
      </c>
    </row>
    <row r="43" spans="1:6" x14ac:dyDescent="0.2">
      <c r="A43" s="3"/>
      <c r="C43" s="3"/>
      <c r="D43"/>
      <c r="F43"/>
    </row>
    <row r="44" spans="1:6" x14ac:dyDescent="0.2">
      <c r="B44" s="36" t="s">
        <v>52</v>
      </c>
      <c r="C44" s="37">
        <f>'Building Total'!C49</f>
        <v>0</v>
      </c>
      <c r="D44"/>
      <c r="F44"/>
    </row>
    <row r="45" spans="1:6" x14ac:dyDescent="0.2">
      <c r="B45" s="36" t="s">
        <v>53</v>
      </c>
      <c r="C45" s="37">
        <f>'Building Total'!C50</f>
        <v>0</v>
      </c>
    </row>
    <row r="46" spans="1:6" x14ac:dyDescent="0.2">
      <c r="B46" s="36" t="s">
        <v>54</v>
      </c>
      <c r="C46" s="35" t="str">
        <f>'Building Total'!C51</f>
        <v>OK</v>
      </c>
    </row>
    <row r="47" spans="1:6" x14ac:dyDescent="0.2">
      <c r="A47" s="22"/>
      <c r="B47" s="38" t="s">
        <v>55</v>
      </c>
      <c r="C47" s="40" t="str">
        <f>'Building Total'!C52</f>
        <v>OK</v>
      </c>
    </row>
    <row r="48" spans="1:6" x14ac:dyDescent="0.2">
      <c r="A48" s="22"/>
      <c r="B48" s="67" t="s">
        <v>136</v>
      </c>
      <c r="C48" s="40" t="str">
        <f>'Building Total'!C53</f>
        <v>OK</v>
      </c>
    </row>
  </sheetData>
  <mergeCells count="13">
    <mergeCell ref="A16:A21"/>
    <mergeCell ref="A36:A39"/>
    <mergeCell ref="A40:E40"/>
    <mergeCell ref="A22:A23"/>
    <mergeCell ref="A24:A29"/>
    <mergeCell ref="A30:A31"/>
    <mergeCell ref="A32:A33"/>
    <mergeCell ref="A34:A35"/>
    <mergeCell ref="A1:F1"/>
    <mergeCell ref="A2:F2"/>
    <mergeCell ref="A4:A9"/>
    <mergeCell ref="A10:A13"/>
    <mergeCell ref="A14:A15"/>
  </mergeCells>
  <conditionalFormatting sqref="C48">
    <cfRule type="cellIs" dxfId="110" priority="1" stopIfTrue="1" operator="equal">
      <formula>#DIV/0!</formula>
    </cfRule>
    <cfRule type="cellIs" dxfId="109" priority="2" stopIfTrue="1" operator="equal">
      <formula>"OK"</formula>
    </cfRule>
    <cfRule type="cellIs" dxfId="108" priority="3" stopIfTrue="1" operator="equal">
      <formula>"Too Many"</formula>
    </cfRule>
  </conditionalFormatting>
  <conditionalFormatting sqref="C46">
    <cfRule type="cellIs" dxfId="107" priority="7" stopIfTrue="1" operator="equal">
      <formula>"OK"</formula>
    </cfRule>
    <cfRule type="cellIs" dxfId="106" priority="8" stopIfTrue="1" operator="equal">
      <formula>"More Power"</formula>
    </cfRule>
  </conditionalFormatting>
  <conditionalFormatting sqref="C47">
    <cfRule type="cellIs" dxfId="105" priority="4" stopIfTrue="1" operator="equal">
      <formula>#DIV/0!</formula>
    </cfRule>
    <cfRule type="cellIs" dxfId="104" priority="5" stopIfTrue="1" operator="equal">
      <formula>"OK"</formula>
    </cfRule>
    <cfRule type="cellIs" dxfId="103" priority="6" stopIfTrue="1" operator="equal">
      <formula>"Too Many"</formula>
    </cfRule>
  </conditionalFormatting>
  <pageMargins left="0.7" right="0.7" top="0.75" bottom="0.75" header="0.3" footer="0.3"/>
  <pageSetup scale="70" fitToHeight="0" orientation="portrait"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A53"/>
  <sheetViews>
    <sheetView workbookViewId="0"/>
  </sheetViews>
  <sheetFormatPr baseColWidth="10" defaultColWidth="9.140625" defaultRowHeight="12.75" x14ac:dyDescent="0.2"/>
  <cols>
    <col min="1" max="1" width="92.5703125" bestFit="1" customWidth="1"/>
    <col min="2" max="16384" width="9.140625" style="43"/>
  </cols>
  <sheetData>
    <row r="1" spans="1:1" ht="15.75" x14ac:dyDescent="0.25">
      <c r="A1" s="112" t="s">
        <v>219</v>
      </c>
    </row>
    <row r="2" spans="1:1" x14ac:dyDescent="0.2">
      <c r="A2" s="113"/>
    </row>
    <row r="3" spans="1:1" x14ac:dyDescent="0.2">
      <c r="A3" s="114" t="s">
        <v>220</v>
      </c>
    </row>
    <row r="4" spans="1:1" x14ac:dyDescent="0.2">
      <c r="A4" s="114" t="s">
        <v>221</v>
      </c>
    </row>
    <row r="5" spans="1:1" x14ac:dyDescent="0.2">
      <c r="A5" s="114" t="s">
        <v>222</v>
      </c>
    </row>
    <row r="6" spans="1:1" x14ac:dyDescent="0.2">
      <c r="A6" s="114" t="s">
        <v>223</v>
      </c>
    </row>
    <row r="7" spans="1:1" x14ac:dyDescent="0.2">
      <c r="A7" s="114" t="s">
        <v>224</v>
      </c>
    </row>
    <row r="8" spans="1:1" x14ac:dyDescent="0.2">
      <c r="A8" s="114"/>
    </row>
    <row r="9" spans="1:1" x14ac:dyDescent="0.2">
      <c r="A9" s="115" t="s">
        <v>225</v>
      </c>
    </row>
    <row r="10" spans="1:1" x14ac:dyDescent="0.2">
      <c r="A10" s="114" t="s">
        <v>226</v>
      </c>
    </row>
    <row r="11" spans="1:1" x14ac:dyDescent="0.2">
      <c r="A11" s="114" t="s">
        <v>227</v>
      </c>
    </row>
    <row r="12" spans="1:1" x14ac:dyDescent="0.2">
      <c r="A12" s="114" t="s">
        <v>228</v>
      </c>
    </row>
    <row r="13" spans="1:1" x14ac:dyDescent="0.2">
      <c r="A13" s="114" t="s">
        <v>229</v>
      </c>
    </row>
    <row r="14" spans="1:1" x14ac:dyDescent="0.2">
      <c r="A14" s="114" t="s">
        <v>230</v>
      </c>
    </row>
    <row r="15" spans="1:1" x14ac:dyDescent="0.2">
      <c r="A15" s="114" t="s">
        <v>231</v>
      </c>
    </row>
    <row r="16" spans="1:1" x14ac:dyDescent="0.2">
      <c r="A16" s="114" t="s">
        <v>232</v>
      </c>
    </row>
    <row r="17" spans="1:1" x14ac:dyDescent="0.2">
      <c r="A17" s="114" t="s">
        <v>233</v>
      </c>
    </row>
    <row r="18" spans="1:1" x14ac:dyDescent="0.2">
      <c r="A18" s="114" t="s">
        <v>234</v>
      </c>
    </row>
    <row r="19" spans="1:1" x14ac:dyDescent="0.2">
      <c r="A19" s="114"/>
    </row>
    <row r="20" spans="1:1" x14ac:dyDescent="0.2">
      <c r="A20" s="115" t="s">
        <v>235</v>
      </c>
    </row>
    <row r="21" spans="1:1" x14ac:dyDescent="0.2">
      <c r="A21" s="114" t="s">
        <v>236</v>
      </c>
    </row>
    <row r="22" spans="1:1" x14ac:dyDescent="0.2">
      <c r="A22" s="114" t="s">
        <v>237</v>
      </c>
    </row>
    <row r="23" spans="1:1" x14ac:dyDescent="0.2">
      <c r="A23" s="114" t="s">
        <v>238</v>
      </c>
    </row>
    <row r="24" spans="1:1" x14ac:dyDescent="0.2">
      <c r="A24" s="114" t="s">
        <v>239</v>
      </c>
    </row>
    <row r="25" spans="1:1" x14ac:dyDescent="0.2">
      <c r="A25" s="114" t="s">
        <v>230</v>
      </c>
    </row>
    <row r="26" spans="1:1" x14ac:dyDescent="0.2">
      <c r="A26" s="114" t="s">
        <v>231</v>
      </c>
    </row>
    <row r="27" spans="1:1" x14ac:dyDescent="0.2">
      <c r="A27" s="114" t="s">
        <v>232</v>
      </c>
    </row>
    <row r="28" spans="1:1" x14ac:dyDescent="0.2">
      <c r="A28" s="114" t="s">
        <v>233</v>
      </c>
    </row>
    <row r="29" spans="1:1" x14ac:dyDescent="0.2">
      <c r="A29" s="114" t="s">
        <v>234</v>
      </c>
    </row>
    <row r="30" spans="1:1" x14ac:dyDescent="0.2">
      <c r="A30" s="114"/>
    </row>
    <row r="31" spans="1:1" x14ac:dyDescent="0.2">
      <c r="A31" s="115" t="s">
        <v>240</v>
      </c>
    </row>
    <row r="32" spans="1:1" ht="12.75" customHeight="1" x14ac:dyDescent="0.2">
      <c r="A32" s="114" t="s">
        <v>241</v>
      </c>
    </row>
    <row r="33" spans="1:1" x14ac:dyDescent="0.2">
      <c r="A33" s="114" t="s">
        <v>242</v>
      </c>
    </row>
    <row r="34" spans="1:1" x14ac:dyDescent="0.2">
      <c r="A34" s="114" t="s">
        <v>284</v>
      </c>
    </row>
    <row r="35" spans="1:1" x14ac:dyDescent="0.2">
      <c r="A35" s="114"/>
    </row>
    <row r="36" spans="1:1" x14ac:dyDescent="0.2">
      <c r="A36" s="114" t="s">
        <v>243</v>
      </c>
    </row>
    <row r="37" spans="1:1" x14ac:dyDescent="0.2">
      <c r="A37" s="114" t="s">
        <v>244</v>
      </c>
    </row>
    <row r="38" spans="1:1" x14ac:dyDescent="0.2">
      <c r="A38" s="114"/>
    </row>
    <row r="39" spans="1:1" x14ac:dyDescent="0.2">
      <c r="A39" s="114" t="s">
        <v>245</v>
      </c>
    </row>
    <row r="40" spans="1:1" x14ac:dyDescent="0.2">
      <c r="A40" s="114" t="s">
        <v>246</v>
      </c>
    </row>
    <row r="41" spans="1:1" x14ac:dyDescent="0.2">
      <c r="A41" s="114" t="s">
        <v>166</v>
      </c>
    </row>
    <row r="42" spans="1:1" x14ac:dyDescent="0.2">
      <c r="A42" s="114" t="s">
        <v>247</v>
      </c>
    </row>
    <row r="43" spans="1:1" x14ac:dyDescent="0.2">
      <c r="A43" s="114" t="s">
        <v>248</v>
      </c>
    </row>
    <row r="44" spans="1:1" x14ac:dyDescent="0.2">
      <c r="A44" s="114"/>
    </row>
    <row r="45" spans="1:1" x14ac:dyDescent="0.2">
      <c r="A45" s="114" t="s">
        <v>249</v>
      </c>
    </row>
    <row r="46" spans="1:1" x14ac:dyDescent="0.2">
      <c r="A46" s="114" t="s">
        <v>250</v>
      </c>
    </row>
    <row r="47" spans="1:1" x14ac:dyDescent="0.2">
      <c r="A47" s="80"/>
    </row>
    <row r="48" spans="1:1" x14ac:dyDescent="0.2">
      <c r="A48" s="80"/>
    </row>
    <row r="49" spans="1:1" x14ac:dyDescent="0.2">
      <c r="A49" s="80"/>
    </row>
    <row r="50" spans="1:1" x14ac:dyDescent="0.2">
      <c r="A50" s="80"/>
    </row>
    <row r="51" spans="1:1" x14ac:dyDescent="0.2">
      <c r="A51" s="80"/>
    </row>
    <row r="52" spans="1:1" x14ac:dyDescent="0.2">
      <c r="A52" s="80"/>
    </row>
    <row r="53" spans="1:1" x14ac:dyDescent="0.2">
      <c r="A53" s="80"/>
    </row>
  </sheetData>
  <sheetProtection password="C4C4" sheet="1" objects="1" scenarios="1"/>
  <pageMargins left="0.7" right="0.7" top="0.75" bottom="0.75" header="0.3" footer="0.3"/>
  <pageSetup scale="99"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F99"/>
  <sheetViews>
    <sheetView tabSelected="1" topLeftCell="B43" workbookViewId="0">
      <selection activeCell="B77" sqref="B77"/>
    </sheetView>
  </sheetViews>
  <sheetFormatPr baseColWidth="10" defaultColWidth="9.140625" defaultRowHeight="12.75" x14ac:dyDescent="0.2"/>
  <cols>
    <col min="1" max="1" width="11.42578125" customWidth="1"/>
    <col min="2" max="2" width="16.140625" customWidth="1"/>
    <col min="3" max="3" width="68.140625" customWidth="1"/>
    <col min="4" max="4" width="12.5703125" hidden="1" customWidth="1"/>
    <col min="5" max="5" width="11.140625" customWidth="1"/>
    <col min="6" max="6" width="21.42578125" customWidth="1"/>
  </cols>
  <sheetData>
    <row r="1" spans="1:6" ht="18" x14ac:dyDescent="0.25">
      <c r="A1" s="125" t="str">
        <f>'Building Total'!A1:F1</f>
        <v>HOSPITAL CURICO</v>
      </c>
      <c r="B1" s="125"/>
      <c r="C1" s="125"/>
      <c r="D1" s="125"/>
      <c r="E1" s="125"/>
      <c r="F1" s="125"/>
    </row>
    <row r="2" spans="1:6" x14ac:dyDescent="0.2">
      <c r="A2" s="196" t="s">
        <v>2</v>
      </c>
      <c r="B2" s="196"/>
      <c r="C2" s="196"/>
      <c r="D2" s="196"/>
      <c r="E2" s="196"/>
      <c r="F2" s="196"/>
    </row>
    <row r="3" spans="1:6" ht="12.75" customHeight="1" x14ac:dyDescent="0.2">
      <c r="A3" s="197" t="s">
        <v>189</v>
      </c>
      <c r="B3" s="85" t="s">
        <v>117</v>
      </c>
      <c r="C3" s="85" t="s">
        <v>0</v>
      </c>
      <c r="D3" s="86" t="s">
        <v>1</v>
      </c>
      <c r="E3" s="85" t="s">
        <v>119</v>
      </c>
      <c r="F3" s="86" t="s">
        <v>3</v>
      </c>
    </row>
    <row r="4" spans="1:6" x14ac:dyDescent="0.2">
      <c r="A4" s="198"/>
      <c r="B4" s="77" t="str">
        <f>'Building Total'!B4</f>
        <v>5-ERS04101</v>
      </c>
      <c r="C4" s="89" t="str">
        <f>'Building Total'!C4</f>
        <v>EIRIS Base Package for Elpas, 3 Client, 10 Elpas Reader license</v>
      </c>
      <c r="D4" s="87">
        <f>'Building Total'!D4</f>
        <v>1459</v>
      </c>
      <c r="E4" s="77">
        <v>0</v>
      </c>
      <c r="F4" s="87">
        <f>E4*D4</f>
        <v>0</v>
      </c>
    </row>
    <row r="5" spans="1:6" x14ac:dyDescent="0.2">
      <c r="A5" s="198"/>
      <c r="B5" s="77" t="str">
        <f>'Building Total'!B5</f>
        <v>5-ERS04201</v>
      </c>
      <c r="C5" s="89" t="str">
        <f>'Building Total'!C5</f>
        <v>Incremental License for additional 16 Elpas Readers</v>
      </c>
      <c r="D5" s="87">
        <f>'Building Total'!D5</f>
        <v>619</v>
      </c>
      <c r="E5" s="78">
        <v>0</v>
      </c>
      <c r="F5" s="87">
        <f>E5*D5</f>
        <v>0</v>
      </c>
    </row>
    <row r="6" spans="1:6" x14ac:dyDescent="0.2">
      <c r="A6" s="198"/>
      <c r="B6" s="77" t="str">
        <f>'Building Total'!B6</f>
        <v>5-ERS04202</v>
      </c>
      <c r="C6" s="89" t="str">
        <f>'Building Total'!C6</f>
        <v>Incremental License for additional concurrent Client Connection (Work Station)</v>
      </c>
      <c r="D6" s="87">
        <f>'Building Total'!D6</f>
        <v>458</v>
      </c>
      <c r="E6" s="77">
        <f>'Building Total'!E6</f>
        <v>0</v>
      </c>
      <c r="F6" s="87">
        <f>E6*D6</f>
        <v>0</v>
      </c>
    </row>
    <row r="7" spans="1:6" x14ac:dyDescent="0.2">
      <c r="A7" s="198"/>
      <c r="B7" s="77" t="str">
        <f>'Building Total'!B7</f>
        <v>5-ERS04211</v>
      </c>
      <c r="C7" s="89" t="str">
        <f>'Building Total'!C7</f>
        <v>Class 2 Eiris Tag License Credit (Passive RFID, access control)</v>
      </c>
      <c r="D7" s="87">
        <f>'Building Total'!D7</f>
        <v>5</v>
      </c>
      <c r="E7" s="77">
        <f>'Building Total'!E7</f>
        <v>0</v>
      </c>
      <c r="F7" s="87">
        <f t="shared" ref="F7:F8" si="0">E7*D7</f>
        <v>0</v>
      </c>
    </row>
    <row r="8" spans="1:6" x14ac:dyDescent="0.2">
      <c r="A8" s="199"/>
      <c r="B8" s="77" t="str">
        <f>'Building Total'!B8</f>
        <v>5-ERS04212</v>
      </c>
      <c r="C8" s="89" t="str">
        <f>'Building Total'!C8</f>
        <v>Class 3 Eiris Tag Credit (3rd party active RFID, BLE tags, wireless phones)</v>
      </c>
      <c r="D8" s="87">
        <f>'Building Total'!D8</f>
        <v>30</v>
      </c>
      <c r="E8" s="77">
        <f>'Building Total'!E8</f>
        <v>0</v>
      </c>
      <c r="F8" s="87">
        <f t="shared" si="0"/>
        <v>0</v>
      </c>
    </row>
    <row r="9" spans="1:6" x14ac:dyDescent="0.2">
      <c r="A9" s="196" t="s">
        <v>164</v>
      </c>
      <c r="B9" s="196"/>
      <c r="C9" s="196"/>
      <c r="D9" s="196"/>
      <c r="E9" s="196"/>
      <c r="F9" s="196"/>
    </row>
    <row r="10" spans="1:6" x14ac:dyDescent="0.2">
      <c r="A10" s="197" t="s">
        <v>188</v>
      </c>
      <c r="B10" s="88" t="s">
        <v>117</v>
      </c>
      <c r="C10" s="88" t="s">
        <v>0</v>
      </c>
      <c r="D10" s="88" t="s">
        <v>1</v>
      </c>
      <c r="E10" s="88" t="s">
        <v>119</v>
      </c>
      <c r="F10" s="88" t="s">
        <v>3</v>
      </c>
    </row>
    <row r="11" spans="1:6" x14ac:dyDescent="0.2">
      <c r="A11" s="198"/>
      <c r="B11" s="77" t="str">
        <f>'Building Total'!B11</f>
        <v>5-ERS04301</v>
      </c>
      <c r="C11" s="77" t="str">
        <f>'Building Total'!C11</f>
        <v>EV2 BabyMatch / Baby Management User Interface</v>
      </c>
      <c r="D11" s="87">
        <f>'Building Total'!D11</f>
        <v>2667</v>
      </c>
      <c r="E11" s="77">
        <f>'Building Total'!E11</f>
        <v>0</v>
      </c>
      <c r="F11" s="87">
        <f t="shared" ref="F11:F18" si="1">E11*D11</f>
        <v>0</v>
      </c>
    </row>
    <row r="12" spans="1:6" x14ac:dyDescent="0.2">
      <c r="A12" s="198"/>
      <c r="B12" s="77" t="str">
        <f>'Building Total'!B12</f>
        <v>5-ERS09051</v>
      </c>
      <c r="C12" s="77" t="str">
        <f>'Building Total'!C12</f>
        <v>Nurse Call Auto-Cancellation Extension</v>
      </c>
      <c r="D12" s="87">
        <f>'Building Total'!D12</f>
        <v>920</v>
      </c>
      <c r="E12" s="77">
        <f>'Building Total'!E12</f>
        <v>0</v>
      </c>
      <c r="F12" s="87">
        <f t="shared" si="1"/>
        <v>0</v>
      </c>
    </row>
    <row r="13" spans="1:6" x14ac:dyDescent="0.2">
      <c r="A13" s="198"/>
      <c r="B13" s="77" t="str">
        <f>'Building Total'!B13</f>
        <v>5-ERS09048</v>
      </c>
      <c r="C13" s="77" t="str">
        <f>'Building Total'!C13</f>
        <v>Communication Package (Pager+SMS+Email)</v>
      </c>
      <c r="D13" s="87">
        <f>'Building Total'!D13</f>
        <v>920</v>
      </c>
      <c r="E13" s="77">
        <f>'Building Total'!E13</f>
        <v>0</v>
      </c>
      <c r="F13" s="87">
        <f t="shared" si="1"/>
        <v>0</v>
      </c>
    </row>
    <row r="14" spans="1:6" x14ac:dyDescent="0.2">
      <c r="A14" s="198"/>
      <c r="B14" s="77" t="str">
        <f>'Building Total'!B14</f>
        <v>5-ERS08035</v>
      </c>
      <c r="C14" s="77" t="str">
        <f>'Building Total'!C14</f>
        <v>Tag Match Extension for Tag Escort and Match Tests</v>
      </c>
      <c r="D14" s="87">
        <f>'Building Total'!D14</f>
        <v>1700</v>
      </c>
      <c r="E14" s="77">
        <f>'Building Total'!E14</f>
        <v>0</v>
      </c>
      <c r="F14" s="87">
        <f t="shared" si="1"/>
        <v>0</v>
      </c>
    </row>
    <row r="15" spans="1:6" x14ac:dyDescent="0.2">
      <c r="A15" s="198"/>
      <c r="B15" s="77" t="str">
        <f>'Building Total'!B15</f>
        <v>5-ERS08320</v>
      </c>
      <c r="C15" s="77" t="str">
        <f>'Building Total'!C15</f>
        <v>Temperature Monitoring Module</v>
      </c>
      <c r="D15" s="87">
        <f>'Building Total'!D15</f>
        <v>1000</v>
      </c>
      <c r="E15" s="77">
        <f>'Building Total'!E15</f>
        <v>0</v>
      </c>
      <c r="F15" s="87">
        <f t="shared" si="1"/>
        <v>0</v>
      </c>
    </row>
    <row r="16" spans="1:6" x14ac:dyDescent="0.2">
      <c r="A16" s="198"/>
      <c r="B16" s="77" t="str">
        <f>'Building Total'!B16</f>
        <v>5-ERS08033</v>
      </c>
      <c r="C16" s="77" t="str">
        <f>'Building Total'!C16</f>
        <v>CCTV Integration</v>
      </c>
      <c r="D16" s="87">
        <f>'Building Total'!D16</f>
        <v>1000</v>
      </c>
      <c r="E16" s="77">
        <f>'Building Total'!E16</f>
        <v>0</v>
      </c>
      <c r="F16" s="87">
        <f t="shared" si="1"/>
        <v>0</v>
      </c>
    </row>
    <row r="17" spans="1:6" x14ac:dyDescent="0.2">
      <c r="A17" s="198"/>
      <c r="B17" s="77" t="str">
        <f>'Building Total'!B17</f>
        <v xml:space="preserve">5-ERS04150 </v>
      </c>
      <c r="C17" s="77" t="str">
        <f>'Building Total'!C17</f>
        <v>3rd Party Nurse Call Integration</v>
      </c>
      <c r="D17" s="87">
        <f>'Building Total'!D17</f>
        <v>1800</v>
      </c>
      <c r="E17" s="77">
        <f>'Building Total'!E17</f>
        <v>0</v>
      </c>
      <c r="F17" s="87">
        <f t="shared" si="1"/>
        <v>0</v>
      </c>
    </row>
    <row r="18" spans="1:6" x14ac:dyDescent="0.2">
      <c r="A18" s="199"/>
      <c r="B18" s="77" t="str">
        <f>'Building Total'!B18</f>
        <v>5-Redundant</v>
      </c>
      <c r="C18" s="77" t="str">
        <f>'Building Total'!C18</f>
        <v>Redundant Server License</v>
      </c>
      <c r="D18" s="87">
        <f>'Building Total'!D18</f>
        <v>1459</v>
      </c>
      <c r="E18" s="77">
        <f>'Building Total'!E18</f>
        <v>0</v>
      </c>
      <c r="F18" s="87">
        <f t="shared" si="1"/>
        <v>0</v>
      </c>
    </row>
    <row r="19" spans="1:6" ht="15.75" x14ac:dyDescent="0.25">
      <c r="A19" s="200" t="s">
        <v>150</v>
      </c>
      <c r="B19" s="200"/>
      <c r="C19" s="200"/>
      <c r="D19" s="200"/>
      <c r="E19" s="200"/>
      <c r="F19" s="97">
        <f>SUM(F4:F6)+SUM(F11:F18)</f>
        <v>0</v>
      </c>
    </row>
    <row r="20" spans="1:6" x14ac:dyDescent="0.2">
      <c r="A20" s="196" t="s">
        <v>93</v>
      </c>
      <c r="B20" s="196"/>
      <c r="C20" s="196"/>
      <c r="D20" s="196"/>
      <c r="E20" s="196"/>
      <c r="F20" s="196"/>
    </row>
    <row r="21" spans="1:6" x14ac:dyDescent="0.2">
      <c r="A21" s="88" t="s">
        <v>116</v>
      </c>
      <c r="B21" s="88" t="s">
        <v>117</v>
      </c>
      <c r="C21" s="88" t="s">
        <v>0</v>
      </c>
      <c r="D21" s="88" t="s">
        <v>118</v>
      </c>
      <c r="E21" s="88" t="s">
        <v>119</v>
      </c>
      <c r="F21" s="88" t="s">
        <v>3</v>
      </c>
    </row>
    <row r="22" spans="1:6" x14ac:dyDescent="0.2">
      <c r="A22" s="201" t="s">
        <v>94</v>
      </c>
      <c r="B22" s="42" t="str">
        <f>'Transmitter Totals'!B4</f>
        <v>5-ETC00433C</v>
      </c>
      <c r="C22" s="54" t="str">
        <f>'Transmitter Totals'!C4</f>
        <v>Asset Tracking Tag, IR/RF/LF, 433 MHz, 10/10/60</v>
      </c>
      <c r="D22" s="90">
        <f>'Transmitter Totals'!D4</f>
        <v>59</v>
      </c>
      <c r="E22" s="91">
        <f>'Transmitter Totals'!E4</f>
        <v>0</v>
      </c>
      <c r="F22" s="90">
        <f t="shared" ref="F22:F54" si="2">E22*D22</f>
        <v>0</v>
      </c>
    </row>
    <row r="23" spans="1:6" x14ac:dyDescent="0.2">
      <c r="A23" s="201"/>
      <c r="B23" s="42" t="str">
        <f>'Transmitter Totals'!B5</f>
        <v>5-ETC09001</v>
      </c>
      <c r="C23" s="54" t="str">
        <f>'Transmitter Totals'!C5</f>
        <v>Equipment Clip (Pack of 5)</v>
      </c>
      <c r="D23" s="90">
        <f>'Transmitter Totals'!D5</f>
        <v>17</v>
      </c>
      <c r="E23" s="91">
        <f>'Transmitter Totals'!E5</f>
        <v>0</v>
      </c>
      <c r="F23" s="90">
        <f t="shared" si="2"/>
        <v>0</v>
      </c>
    </row>
    <row r="24" spans="1:6" x14ac:dyDescent="0.2">
      <c r="A24" s="201"/>
      <c r="B24" s="42" t="str">
        <f>'Transmitter Totals'!B6</f>
        <v>5-ETC09002</v>
      </c>
      <c r="C24" s="54" t="str">
        <f>'Transmitter Totals'!C6</f>
        <v>Belt Clip (Pack of 5)</v>
      </c>
      <c r="D24" s="90">
        <f>'Transmitter Totals'!D6</f>
        <v>18</v>
      </c>
      <c r="E24" s="91">
        <f>'Transmitter Totals'!E6</f>
        <v>0</v>
      </c>
      <c r="F24" s="90">
        <f t="shared" si="2"/>
        <v>0</v>
      </c>
    </row>
    <row r="25" spans="1:6" x14ac:dyDescent="0.2">
      <c r="A25" s="201"/>
      <c r="B25" s="42" t="str">
        <f>'Transmitter Totals'!B7</f>
        <v>5-ETC09003</v>
      </c>
      <c r="C25" s="54" t="str">
        <f>'Transmitter Totals'!C7</f>
        <v>Pendant Clip (Pack of 5)</v>
      </c>
      <c r="D25" s="90">
        <f>'Transmitter Totals'!D7</f>
        <v>15</v>
      </c>
      <c r="E25" s="91">
        <f>'Transmitter Totals'!E7</f>
        <v>0</v>
      </c>
      <c r="F25" s="90">
        <f t="shared" si="2"/>
        <v>0</v>
      </c>
    </row>
    <row r="26" spans="1:6" ht="12.75" customHeight="1" x14ac:dyDescent="0.2">
      <c r="A26" s="205" t="s">
        <v>165</v>
      </c>
      <c r="B26" s="63" t="str">
        <f>'Transmitter Totals'!B8</f>
        <v>5-STE00433-1</v>
      </c>
      <c r="C26" s="116" t="str">
        <f>'Transmitter Totals'!C8</f>
        <v>Temperature Sensor Tag, RF, 433MHz (requires S/W ext)</v>
      </c>
      <c r="D26" s="94">
        <f>'Transmitter Totals'!D8</f>
        <v>72</v>
      </c>
      <c r="E26" s="92">
        <f>'Transmitter Totals'!E8</f>
        <v>0</v>
      </c>
      <c r="F26" s="87">
        <f t="shared" si="2"/>
        <v>0</v>
      </c>
    </row>
    <row r="27" spans="1:6" ht="12.75" customHeight="1" x14ac:dyDescent="0.2">
      <c r="A27" s="206"/>
      <c r="B27" s="63" t="s">
        <v>269</v>
      </c>
      <c r="C27" s="122" t="s">
        <v>270</v>
      </c>
      <c r="D27" s="94">
        <v>150</v>
      </c>
      <c r="E27" s="92">
        <f>'Transmitter Totals'!E9</f>
        <v>0</v>
      </c>
      <c r="F27" s="87">
        <f t="shared" si="2"/>
        <v>0</v>
      </c>
    </row>
    <row r="28" spans="1:6" x14ac:dyDescent="0.2">
      <c r="A28" s="202" t="s">
        <v>167</v>
      </c>
      <c r="B28" s="42" t="str">
        <f>'Transmitter Totals'!B10</f>
        <v xml:space="preserve">5-BTE00433-1    </v>
      </c>
      <c r="C28" s="54" t="str">
        <f>'Transmitter Totals'!C10</f>
        <v xml:space="preserve">Charm, RF/LF </v>
      </c>
      <c r="D28" s="90">
        <f>'Transmitter Totals'!D10</f>
        <v>63</v>
      </c>
      <c r="E28" s="91">
        <f>'Transmitter Totals'!E10</f>
        <v>0</v>
      </c>
      <c r="F28" s="90">
        <f t="shared" si="2"/>
        <v>0</v>
      </c>
    </row>
    <row r="29" spans="1:6" x14ac:dyDescent="0.2">
      <c r="A29" s="202"/>
      <c r="B29" s="42" t="str">
        <f>'Transmitter Totals'!B11</f>
        <v>5-BTE90004</v>
      </c>
      <c r="C29" s="54" t="str">
        <f>'Transmitter Totals'!C11</f>
        <v>Charm Band, Infant (50 Units)</v>
      </c>
      <c r="D29" s="90">
        <f>'Transmitter Totals'!D11</f>
        <v>99</v>
      </c>
      <c r="E29" s="91">
        <f>'Transmitter Totals'!E11</f>
        <v>0</v>
      </c>
      <c r="F29" s="90">
        <f t="shared" si="2"/>
        <v>0</v>
      </c>
    </row>
    <row r="30" spans="1:6" x14ac:dyDescent="0.2">
      <c r="A30" s="202"/>
      <c r="B30" s="42" t="str">
        <f>'Transmitter Totals'!B12</f>
        <v>5-BTE90003</v>
      </c>
      <c r="C30" s="54" t="str">
        <f>'Transmitter Totals'!C12</f>
        <v>Long Charm Bands (50 Units)</v>
      </c>
      <c r="D30" s="90">
        <f>'Transmitter Totals'!D12</f>
        <v>166</v>
      </c>
      <c r="E30" s="91">
        <f>'Transmitter Totals'!E12</f>
        <v>0</v>
      </c>
      <c r="F30" s="90">
        <f t="shared" si="2"/>
        <v>0</v>
      </c>
    </row>
    <row r="31" spans="1:6" x14ac:dyDescent="0.2">
      <c r="A31" s="202"/>
      <c r="B31" s="42" t="str">
        <f>'Transmitter Totals'!B13</f>
        <v>5-WTD41120-0</v>
      </c>
      <c r="C31" s="54" t="str">
        <f>'Transmitter Totals'!C13</f>
        <v>Mother Bracelet, IR/RF/LF/LFTX, Button</v>
      </c>
      <c r="D31" s="90">
        <f>'Transmitter Totals'!D13</f>
        <v>72</v>
      </c>
      <c r="E31" s="91">
        <f>'Transmitter Totals'!E13</f>
        <v>0</v>
      </c>
      <c r="F31" s="90">
        <f t="shared" si="2"/>
        <v>0</v>
      </c>
    </row>
    <row r="32" spans="1:6" ht="12.75" customHeight="1" x14ac:dyDescent="0.2">
      <c r="A32" s="203" t="s">
        <v>204</v>
      </c>
      <c r="B32" s="63" t="str">
        <f>'Transmitter Totals'!B14</f>
        <v>5-WTD41100-0</v>
      </c>
      <c r="C32" s="116" t="str">
        <f>'Transmitter Totals'!C14</f>
        <v>Elpas Bracelet Module</v>
      </c>
      <c r="D32" s="94">
        <f>'Transmitter Totals'!D14</f>
        <v>69</v>
      </c>
      <c r="E32" s="92">
        <f>'Transmitter Totals'!E14</f>
        <v>0</v>
      </c>
      <c r="F32" s="93">
        <f t="shared" si="2"/>
        <v>0</v>
      </c>
    </row>
    <row r="33" spans="1:6" x14ac:dyDescent="0.2">
      <c r="A33" s="204"/>
      <c r="B33" s="63" t="str">
        <f>'Transmitter Totals'!B15</f>
        <v>5-WTD41002-0</v>
      </c>
      <c r="C33" s="116" t="str">
        <f>'Transmitter Totals'!C15</f>
        <v>Elpas Bracelet with Security Band, Solid Face</v>
      </c>
      <c r="D33" s="94">
        <f>'Transmitter Totals'!D15</f>
        <v>85</v>
      </c>
      <c r="E33" s="92">
        <v>0</v>
      </c>
      <c r="F33" s="93">
        <f t="shared" si="2"/>
        <v>0</v>
      </c>
    </row>
    <row r="34" spans="1:6" x14ac:dyDescent="0.2">
      <c r="A34" s="204"/>
      <c r="B34" s="63" t="str">
        <f>'Transmitter Totals'!B16</f>
        <v>5-WTD09012</v>
      </c>
      <c r="C34" s="116" t="str">
        <f>'Transmitter Totals'!C16</f>
        <v>Security Band (Pack of 5)</v>
      </c>
      <c r="D34" s="94">
        <f>'Transmitter Totals'!D16</f>
        <v>89</v>
      </c>
      <c r="E34" s="92">
        <f>'Transmitter Totals'!E16</f>
        <v>0</v>
      </c>
      <c r="F34" s="93">
        <f t="shared" si="2"/>
        <v>0</v>
      </c>
    </row>
    <row r="35" spans="1:6" x14ac:dyDescent="0.2">
      <c r="A35" s="204"/>
      <c r="B35" s="63" t="str">
        <f>'Transmitter Totals'!B17</f>
        <v>5-WTD09009</v>
      </c>
      <c r="C35" s="116" t="str">
        <f>'Transmitter Totals'!C17</f>
        <v>Band Lock Key (Pack of 5) **Required for 5-WTD41102-0 and 5-WTD09012</v>
      </c>
      <c r="D35" s="94">
        <f>'Transmitter Totals'!D17</f>
        <v>12</v>
      </c>
      <c r="E35" s="92">
        <v>0</v>
      </c>
      <c r="F35" s="93">
        <f t="shared" si="2"/>
        <v>0</v>
      </c>
    </row>
    <row r="36" spans="1:6" x14ac:dyDescent="0.2">
      <c r="A36" s="204"/>
      <c r="B36" s="63" t="str">
        <f>'Transmitter Totals'!B18</f>
        <v>5-PB063011</v>
      </c>
      <c r="C36" s="116" t="str">
        <f>'Transmitter Totals'!C18</f>
        <v xml:space="preserve">Disposable Clincher Wrist ID Band (Pack of 50) </v>
      </c>
      <c r="D36" s="94">
        <f>'Transmitter Totals'!D18</f>
        <v>28</v>
      </c>
      <c r="E36" s="92">
        <f>'Transmitter Totals'!E18</f>
        <v>0</v>
      </c>
      <c r="F36" s="93">
        <f t="shared" si="2"/>
        <v>0</v>
      </c>
    </row>
    <row r="37" spans="1:6" x14ac:dyDescent="0.2">
      <c r="A37" s="204"/>
      <c r="B37" s="63" t="str">
        <f>'Transmitter Totals'!B19</f>
        <v>5-WTD09016</v>
      </c>
      <c r="C37" s="116" t="str">
        <f>'Transmitter Totals'!C19</f>
        <v>WTD Replacement Cover with Button (Pack of 5)</v>
      </c>
      <c r="D37" s="94">
        <f>'Transmitter Totals'!D19</f>
        <v>12</v>
      </c>
      <c r="E37" s="92">
        <f>'Transmitter Totals'!E19</f>
        <v>0</v>
      </c>
      <c r="F37" s="93">
        <f t="shared" si="2"/>
        <v>0</v>
      </c>
    </row>
    <row r="38" spans="1:6" x14ac:dyDescent="0.2">
      <c r="A38" s="204"/>
      <c r="B38" s="63" t="str">
        <f>'Transmitter Totals'!B20</f>
        <v>5-WTD09017</v>
      </c>
      <c r="C38" s="116" t="str">
        <f>'Transmitter Totals'!C20</f>
        <v>WTD Cover without Button (Pack of 5)</v>
      </c>
      <c r="D38" s="94">
        <f>'Transmitter Totals'!D20</f>
        <v>12</v>
      </c>
      <c r="E38" s="92">
        <f>'Transmitter Totals'!E20</f>
        <v>0</v>
      </c>
      <c r="F38" s="93">
        <f t="shared" si="2"/>
        <v>0</v>
      </c>
    </row>
    <row r="39" spans="1:6" x14ac:dyDescent="0.2">
      <c r="A39" s="204"/>
      <c r="B39" s="63" t="str">
        <f>'Transmitter Totals'!B21</f>
        <v>5-WTD09013</v>
      </c>
      <c r="C39" s="116" t="str">
        <f>'Transmitter Totals'!C21</f>
        <v>WTD Hospital Band Adapter (Pack of 5)</v>
      </c>
      <c r="D39" s="94">
        <f>'Transmitter Totals'!D21</f>
        <v>12</v>
      </c>
      <c r="E39" s="92">
        <f>'Transmitter Totals'!E21</f>
        <v>0</v>
      </c>
      <c r="F39" s="93">
        <f t="shared" si="2"/>
        <v>0</v>
      </c>
    </row>
    <row r="40" spans="1:6" x14ac:dyDescent="0.2">
      <c r="A40" s="204"/>
      <c r="B40" s="63" t="str">
        <f>'Transmitter Totals'!B22</f>
        <v>5-WTD09011</v>
      </c>
      <c r="C40" s="116" t="str">
        <f>'Transmitter Totals'!C22</f>
        <v>Standard Wristband, No Tamper (Pack of 5)</v>
      </c>
      <c r="D40" s="94">
        <f>'Transmitter Totals'!D22</f>
        <v>48</v>
      </c>
      <c r="E40" s="92">
        <f>'Transmitter Totals'!E22</f>
        <v>0</v>
      </c>
      <c r="F40" s="93">
        <f t="shared" si="2"/>
        <v>0</v>
      </c>
    </row>
    <row r="41" spans="1:6" x14ac:dyDescent="0.2">
      <c r="A41" s="204"/>
      <c r="B41" s="63" t="str">
        <f>'Transmitter Totals'!B23</f>
        <v>5-WTD09014</v>
      </c>
      <c r="C41" s="116" t="str">
        <f>'Transmitter Totals'!C23</f>
        <v>Standard Wristband XL, No Tamper (Pack of 5)</v>
      </c>
      <c r="D41" s="94">
        <f>'Transmitter Totals'!D23</f>
        <v>56</v>
      </c>
      <c r="E41" s="92">
        <f>'Transmitter Totals'!E23</f>
        <v>0</v>
      </c>
      <c r="F41" s="93">
        <f t="shared" si="2"/>
        <v>0</v>
      </c>
    </row>
    <row r="42" spans="1:6" x14ac:dyDescent="0.2">
      <c r="A42" s="204"/>
      <c r="B42" s="63" t="str">
        <f>'Transmitter Totals'!B24</f>
        <v>5-WTA90007</v>
      </c>
      <c r="C42" s="116" t="str">
        <f>'Transmitter Totals'!C24</f>
        <v>Reusable medical grade wristband with lock (Pack of 5)</v>
      </c>
      <c r="D42" s="94">
        <f>'Transmitter Totals'!D24</f>
        <v>23</v>
      </c>
      <c r="E42" s="92">
        <f>'Transmitter Totals'!E24</f>
        <v>0</v>
      </c>
      <c r="F42" s="93">
        <f t="shared" si="2"/>
        <v>0</v>
      </c>
    </row>
    <row r="43" spans="1:6" x14ac:dyDescent="0.2">
      <c r="A43" s="204"/>
      <c r="B43" s="63" t="str">
        <f>'Transmitter Totals'!B25</f>
        <v>5-500130</v>
      </c>
      <c r="C43" s="116" t="str">
        <f>'Transmitter Totals'!C25</f>
        <v>Lock pin removal magnet **Required for 5-WTA90007</v>
      </c>
      <c r="D43" s="94">
        <f>'Transmitter Totals'!D25</f>
        <v>121</v>
      </c>
      <c r="E43" s="92">
        <f>'Transmitter Totals'!E25</f>
        <v>0</v>
      </c>
      <c r="F43" s="93">
        <f t="shared" si="2"/>
        <v>0</v>
      </c>
    </row>
    <row r="44" spans="1:6" x14ac:dyDescent="0.2">
      <c r="A44" s="201" t="s">
        <v>200</v>
      </c>
      <c r="B44" s="42" t="str">
        <f>'Transmitter Totals'!B26</f>
        <v>5-PBA00433-L</v>
      </c>
      <c r="C44" s="54" t="str">
        <f>'Transmitter Totals'!C26</f>
        <v>Elpas Badge w/IR, 60 sec RF</v>
      </c>
      <c r="D44" s="90">
        <f>'Transmitter Totals'!D26</f>
        <v>59</v>
      </c>
      <c r="E44" s="91">
        <f>'Transmitter Totals'!E26</f>
        <v>0</v>
      </c>
      <c r="F44" s="90">
        <f t="shared" si="2"/>
        <v>0</v>
      </c>
    </row>
    <row r="45" spans="1:6" x14ac:dyDescent="0.2">
      <c r="A45" s="201"/>
      <c r="B45" s="42" t="str">
        <f>'Transmitter Totals'!B27</f>
        <v>5-PBA90001</v>
      </c>
      <c r="C45" s="54" t="str">
        <f>'Transmitter Totals'!C27</f>
        <v xml:space="preserve">Personnel Identity Badge - Clip Attachment (25 pcs) </v>
      </c>
      <c r="D45" s="90">
        <f>'Transmitter Totals'!D27</f>
        <v>27</v>
      </c>
      <c r="E45" s="91">
        <v>7</v>
      </c>
      <c r="F45" s="90">
        <f t="shared" si="2"/>
        <v>189</v>
      </c>
    </row>
    <row r="46" spans="1:6" x14ac:dyDescent="0.2">
      <c r="A46" s="201"/>
      <c r="B46" s="42" t="str">
        <f>'Transmitter Totals'!B28</f>
        <v>5-PBA90002</v>
      </c>
      <c r="C46" s="54" t="str">
        <f>'Transmitter Totals'!C28</f>
        <v xml:space="preserve">Open Front Card Holder, Horizontal/Vertical, (5 pcs) </v>
      </c>
      <c r="D46" s="90">
        <f>'Transmitter Totals'!D28</f>
        <v>14</v>
      </c>
      <c r="E46" s="91">
        <v>0</v>
      </c>
      <c r="F46" s="90">
        <f t="shared" si="2"/>
        <v>0</v>
      </c>
    </row>
    <row r="47" spans="1:6" x14ac:dyDescent="0.2">
      <c r="A47" s="201"/>
      <c r="B47" s="42" t="str">
        <f>'Transmitter Totals'!B29</f>
        <v>5-PBA90004</v>
      </c>
      <c r="C47" s="54" t="str">
        <f>'Transmitter Totals'!C29</f>
        <v xml:space="preserve">Personnel Identity Badge - Label Covers (25 pcs) </v>
      </c>
      <c r="D47" s="90">
        <f>'Transmitter Totals'!D29</f>
        <v>37</v>
      </c>
      <c r="E47" s="91">
        <v>3</v>
      </c>
      <c r="F47" s="90">
        <f t="shared" si="2"/>
        <v>111</v>
      </c>
    </row>
    <row r="48" spans="1:6" x14ac:dyDescent="0.2">
      <c r="A48" s="210" t="s">
        <v>203</v>
      </c>
      <c r="B48" s="63" t="str">
        <f>'Transmitter Totals'!B30</f>
        <v>5-LW241020-0</v>
      </c>
      <c r="C48" s="116" t="str">
        <f>'Transmitter Totals'!C30</f>
        <v>Lone Worker, IR/RF/LF</v>
      </c>
      <c r="D48" s="94">
        <f>'Transmitter Totals'!D30</f>
        <v>89</v>
      </c>
      <c r="E48" s="92">
        <f>'Transmitter Totals'!E30</f>
        <v>0</v>
      </c>
      <c r="F48" s="93">
        <f t="shared" si="2"/>
        <v>0</v>
      </c>
    </row>
    <row r="49" spans="1:6" x14ac:dyDescent="0.2">
      <c r="A49" s="210"/>
      <c r="B49" s="63" t="str">
        <f>'Transmitter Totals'!B31</f>
        <v>5-LW241037-0</v>
      </c>
      <c r="C49" s="116" t="str">
        <f>'Transmitter Totals'!C31</f>
        <v>Lone Worker Fall Detect, IR/RF/LF</v>
      </c>
      <c r="D49" s="94">
        <f>'Transmitter Totals'!D31</f>
        <v>116</v>
      </c>
      <c r="E49" s="92">
        <f>'Transmitter Totals'!E31</f>
        <v>0</v>
      </c>
      <c r="F49" s="93">
        <f t="shared" si="2"/>
        <v>0</v>
      </c>
    </row>
    <row r="50" spans="1:6" x14ac:dyDescent="0.2">
      <c r="A50" s="210"/>
      <c r="B50" s="63" t="str">
        <f>'Transmitter Totals'!B32</f>
        <v>5-LW009800-0</v>
      </c>
      <c r="C50" s="116" t="str">
        <f>'Transmitter Totals'!C32</f>
        <v>Lone Worker Belt Clip (Pack of 5)</v>
      </c>
      <c r="D50" s="94">
        <f>'Transmitter Totals'!D32</f>
        <v>23</v>
      </c>
      <c r="E50" s="92">
        <f>'Transmitter Totals'!E32</f>
        <v>0</v>
      </c>
      <c r="F50" s="93">
        <f t="shared" si="2"/>
        <v>0</v>
      </c>
    </row>
    <row r="51" spans="1:6" x14ac:dyDescent="0.2">
      <c r="A51" s="210"/>
      <c r="B51" s="63" t="str">
        <f>'Transmitter Totals'!B33</f>
        <v>5-LW009700-0</v>
      </c>
      <c r="C51" s="116" t="str">
        <f>'Transmitter Totals'!C33</f>
        <v>Lone Worker Pull Cord (Pack of 5)</v>
      </c>
      <c r="D51" s="94">
        <f>'Transmitter Totals'!D33</f>
        <v>15</v>
      </c>
      <c r="E51" s="92">
        <f>'Transmitter Totals'!E33</f>
        <v>0</v>
      </c>
      <c r="F51" s="93">
        <f t="shared" si="2"/>
        <v>0</v>
      </c>
    </row>
    <row r="52" spans="1:6" x14ac:dyDescent="0.2">
      <c r="A52" s="211" t="s">
        <v>158</v>
      </c>
      <c r="B52" s="42" t="str">
        <f>'Transmitter Totals'!B34</f>
        <v>5-MAG00433</v>
      </c>
      <c r="C52" s="54" t="str">
        <f>'Transmitter Totals'!C34</f>
        <v>Wireless Magnetic Contact, RF, 433MHz</v>
      </c>
      <c r="D52" s="90">
        <f>'Transmitter Totals'!D34</f>
        <v>61</v>
      </c>
      <c r="E52" s="91">
        <f>'Transmitter Totals'!E34</f>
        <v>0</v>
      </c>
      <c r="F52" s="90">
        <f t="shared" si="2"/>
        <v>0</v>
      </c>
    </row>
    <row r="53" spans="1:6" x14ac:dyDescent="0.2">
      <c r="A53" s="211"/>
      <c r="B53" s="42" t="str">
        <f>'Transmitter Totals'!B35</f>
        <v>5-PIR00433</v>
      </c>
      <c r="C53" s="54" t="str">
        <f>'Transmitter Totals'!C35</f>
        <v>Wireless Curtain PIR Detector, RF, 433MHz</v>
      </c>
      <c r="D53" s="90">
        <f>'Transmitter Totals'!D35</f>
        <v>73</v>
      </c>
      <c r="E53" s="91">
        <f>'Transmitter Totals'!E35</f>
        <v>0</v>
      </c>
      <c r="F53" s="90">
        <f t="shared" si="2"/>
        <v>0</v>
      </c>
    </row>
    <row r="54" spans="1:6" x14ac:dyDescent="0.2">
      <c r="A54" s="211"/>
      <c r="B54" s="42" t="str">
        <f>'Transmitter Totals'!B36</f>
        <v>5-TBA00433</v>
      </c>
      <c r="C54" s="54" t="str">
        <f>'Transmitter Totals'!C36</f>
        <v>Wireless Input Module, RF/LF, 433Mhz</v>
      </c>
      <c r="D54" s="90">
        <f>'Transmitter Totals'!D36</f>
        <v>82</v>
      </c>
      <c r="E54" s="91">
        <f>'Transmitter Totals'!E36</f>
        <v>0</v>
      </c>
      <c r="F54" s="90">
        <f t="shared" si="2"/>
        <v>0</v>
      </c>
    </row>
    <row r="55" spans="1:6" ht="15.75" x14ac:dyDescent="0.25">
      <c r="A55" s="207" t="s">
        <v>186</v>
      </c>
      <c r="B55" s="207"/>
      <c r="C55" s="207"/>
      <c r="D55" s="207"/>
      <c r="E55" s="207"/>
      <c r="F55" s="95">
        <f>SUM(F22:F54)</f>
        <v>300</v>
      </c>
    </row>
    <row r="56" spans="1:6" x14ac:dyDescent="0.2">
      <c r="A56" s="196" t="s">
        <v>9</v>
      </c>
      <c r="B56" s="196"/>
      <c r="C56" s="196"/>
      <c r="D56" s="196"/>
      <c r="E56" s="196"/>
      <c r="F56" s="196"/>
    </row>
    <row r="57" spans="1:6" x14ac:dyDescent="0.2">
      <c r="A57" s="88" t="s">
        <v>116</v>
      </c>
      <c r="B57" s="88" t="s">
        <v>117</v>
      </c>
      <c r="C57" s="88" t="s">
        <v>0</v>
      </c>
      <c r="D57" s="88" t="s">
        <v>118</v>
      </c>
      <c r="E57" s="88" t="s">
        <v>119</v>
      </c>
      <c r="F57" s="88" t="s">
        <v>3</v>
      </c>
    </row>
    <row r="58" spans="1:6" x14ac:dyDescent="0.2">
      <c r="A58" s="208" t="s">
        <v>37</v>
      </c>
      <c r="B58" s="77" t="str">
        <f>MISC!B4</f>
        <v>5-RFB00433</v>
      </c>
      <c r="C58" s="77" t="str">
        <f>MISC!C4</f>
        <v>RF Reader, IP, 433MHz, Ceiling</v>
      </c>
      <c r="D58" s="87">
        <f>'Network Hardware Totals'!D4</f>
        <v>279</v>
      </c>
      <c r="E58" s="77">
        <f>'Network Hardware Totals'!E4</f>
        <v>0</v>
      </c>
      <c r="F58" s="87">
        <f t="shared" ref="F58:F93" si="3">E58*D58</f>
        <v>0</v>
      </c>
    </row>
    <row r="59" spans="1:6" x14ac:dyDescent="0.2">
      <c r="A59" s="208"/>
      <c r="B59" s="77" t="str">
        <f>MISC!B5</f>
        <v>5-RFB10433-2</v>
      </c>
      <c r="C59" s="77" t="str">
        <f>MISC!C5</f>
        <v>RF Reader, IP, 433MHz, Wall</v>
      </c>
      <c r="D59" s="87">
        <f>'Network Hardware Totals'!D5</f>
        <v>279</v>
      </c>
      <c r="E59" s="77">
        <v>0</v>
      </c>
      <c r="F59" s="87">
        <f t="shared" si="3"/>
        <v>0</v>
      </c>
    </row>
    <row r="60" spans="1:6" x14ac:dyDescent="0.2">
      <c r="A60" s="208"/>
      <c r="B60" s="77" t="str">
        <f>MISC!B6</f>
        <v>5-RFB00433-1</v>
      </c>
      <c r="C60" s="77" t="str">
        <f>MISC!C6</f>
        <v xml:space="preserve">RF Reader, BUS, 433MHz, Ceiling </v>
      </c>
      <c r="D60" s="87">
        <f>'Network Hardware Totals'!D6</f>
        <v>279</v>
      </c>
      <c r="E60" s="77">
        <f>'Network Hardware Totals'!E6</f>
        <v>0</v>
      </c>
      <c r="F60" s="87">
        <f t="shared" si="3"/>
        <v>0</v>
      </c>
    </row>
    <row r="61" spans="1:6" x14ac:dyDescent="0.2">
      <c r="A61" s="208"/>
      <c r="B61" s="77" t="str">
        <f>MISC!B7</f>
        <v>5-RFB10433-5</v>
      </c>
      <c r="C61" s="77" t="str">
        <f>MISC!C7</f>
        <v>RF Reader, BUS, 433MHz, Wall</v>
      </c>
      <c r="D61" s="87">
        <f>'Network Hardware Totals'!D7</f>
        <v>279</v>
      </c>
      <c r="E61" s="77">
        <f>'Network Hardware Totals'!E7</f>
        <v>0</v>
      </c>
      <c r="F61" s="87">
        <f t="shared" si="3"/>
        <v>0</v>
      </c>
    </row>
    <row r="62" spans="1:6" x14ac:dyDescent="0.2">
      <c r="A62" s="208"/>
      <c r="B62" s="77" t="str">
        <f>MISC!B8</f>
        <v>5-ELC00433-1</v>
      </c>
      <c r="C62" s="77" t="str">
        <f>MISC!C8</f>
        <v>ELPAS Local Controller, Ceiling, 433MHz</v>
      </c>
      <c r="D62" s="87">
        <f>'Network Hardware Totals'!D8</f>
        <v>427</v>
      </c>
      <c r="E62" s="77">
        <f>'Network Hardware Totals'!E8</f>
        <v>0</v>
      </c>
      <c r="F62" s="87">
        <f t="shared" si="3"/>
        <v>0</v>
      </c>
    </row>
    <row r="63" spans="1:6" x14ac:dyDescent="0.2">
      <c r="A63" s="208"/>
      <c r="B63" s="77" t="str">
        <f>MISC!B9</f>
        <v>5-ELC10433-3</v>
      </c>
      <c r="C63" s="77" t="str">
        <f>MISC!C9</f>
        <v>ELPAS Local Controller, Wall, 433MHz, I/O (7/5)</v>
      </c>
      <c r="D63" s="87">
        <f>'Network Hardware Totals'!D9</f>
        <v>482</v>
      </c>
      <c r="E63" s="77">
        <f>'Network Hardware Totals'!E9</f>
        <v>0</v>
      </c>
      <c r="F63" s="87">
        <f t="shared" si="3"/>
        <v>0</v>
      </c>
    </row>
    <row r="64" spans="1:6" x14ac:dyDescent="0.2">
      <c r="A64" s="209" t="s">
        <v>70</v>
      </c>
      <c r="B64" s="91" t="str">
        <f>MISC!B10</f>
        <v>5-ELC00433-4</v>
      </c>
      <c r="C64" s="96" t="str">
        <f>MISC!C10</f>
        <v>RF Reader, IP, 433MHz, ELC, Outdoor</v>
      </c>
      <c r="D64" s="90">
        <f>'Network Hardware Totals'!D10</f>
        <v>497</v>
      </c>
      <c r="E64" s="91">
        <f>'Network Hardware Totals'!E10</f>
        <v>0</v>
      </c>
      <c r="F64" s="90">
        <f t="shared" si="3"/>
        <v>0</v>
      </c>
    </row>
    <row r="65" spans="1:6" x14ac:dyDescent="0.2">
      <c r="A65" s="209"/>
      <c r="B65" s="91" t="str">
        <f>MISC!B11</f>
        <v>5-CBL00201</v>
      </c>
      <c r="C65" s="96" t="str">
        <f>MISC!C11</f>
        <v>Coax Cable 3.0M/10 Ft for Omni-Directional / Yagi Antennas</v>
      </c>
      <c r="D65" s="90">
        <f>'Network Hardware Totals'!D11</f>
        <v>41</v>
      </c>
      <c r="E65" s="91">
        <f>'Network Hardware Totals'!E11</f>
        <v>0</v>
      </c>
      <c r="F65" s="90">
        <f t="shared" si="3"/>
        <v>0</v>
      </c>
    </row>
    <row r="66" spans="1:6" x14ac:dyDescent="0.2">
      <c r="A66" s="209"/>
      <c r="B66" s="91" t="str">
        <f>MISC!B12</f>
        <v>5-AN004303</v>
      </c>
      <c r="C66" s="96" t="str">
        <f>MISC!C12</f>
        <v>Long-Range Yagi Directional Antenna</v>
      </c>
      <c r="D66" s="90">
        <f>'Network Hardware Totals'!D12</f>
        <v>81</v>
      </c>
      <c r="E66" s="91">
        <f>'Network Hardware Totals'!E12</f>
        <v>0</v>
      </c>
      <c r="F66" s="90">
        <f t="shared" si="3"/>
        <v>0</v>
      </c>
    </row>
    <row r="67" spans="1:6" x14ac:dyDescent="0.2">
      <c r="A67" s="209"/>
      <c r="B67" s="91" t="str">
        <f>MISC!B13</f>
        <v>5-AN004305-1</v>
      </c>
      <c r="C67" s="96" t="str">
        <f>MISC!C13</f>
        <v>Long-Range Omni-Directional Antenna + MBCN</v>
      </c>
      <c r="D67" s="90">
        <f>'Network Hardware Totals'!D13</f>
        <v>106</v>
      </c>
      <c r="E67" s="91">
        <f>'Network Hardware Totals'!E13</f>
        <v>0</v>
      </c>
      <c r="F67" s="90">
        <f t="shared" si="3"/>
        <v>0</v>
      </c>
    </row>
    <row r="68" spans="1:6" x14ac:dyDescent="0.2">
      <c r="A68" s="212" t="s">
        <v>38</v>
      </c>
      <c r="B68" s="77" t="str">
        <f>MISC!B14</f>
        <v>5-IRB00880</v>
      </c>
      <c r="C68" s="109" t="str">
        <f>MISC!C14</f>
        <v>IR Reader, RS-485, Ceiling</v>
      </c>
      <c r="D68" s="87">
        <f>'Network Hardware Totals'!D14</f>
        <v>149</v>
      </c>
      <c r="E68" s="77">
        <f>'Network Hardware Totals'!E14</f>
        <v>0</v>
      </c>
      <c r="F68" s="94">
        <f t="shared" si="3"/>
        <v>0</v>
      </c>
    </row>
    <row r="69" spans="1:6" x14ac:dyDescent="0.2">
      <c r="A69" s="212"/>
      <c r="B69" s="77" t="str">
        <f>MISC!B15</f>
        <v>5-IRB00880-1</v>
      </c>
      <c r="C69" s="109" t="str">
        <f>MISC!C15</f>
        <v>IR Reader, IP, Ceiling</v>
      </c>
      <c r="D69" s="87">
        <f>'Network Hardware Totals'!D15</f>
        <v>149</v>
      </c>
      <c r="E69" s="77">
        <f>'Network Hardware Totals'!E15</f>
        <v>0</v>
      </c>
      <c r="F69" s="94">
        <f>E69*D69</f>
        <v>0</v>
      </c>
    </row>
    <row r="70" spans="1:6" ht="12.75" customHeight="1" x14ac:dyDescent="0.2">
      <c r="A70" s="213" t="s">
        <v>41</v>
      </c>
      <c r="B70" s="91" t="str">
        <f>MISC!B16</f>
        <v>5-ALC01021-0</v>
      </c>
      <c r="C70" s="96" t="str">
        <f>MISC!C16</f>
        <v>LF Bus Beacon, No RF, 4.5M, 125kHz</v>
      </c>
      <c r="D70" s="90">
        <f>'Network Hardware Totals'!D16</f>
        <v>215</v>
      </c>
      <c r="E70" s="91">
        <v>0</v>
      </c>
      <c r="F70" s="90">
        <f t="shared" si="3"/>
        <v>0</v>
      </c>
    </row>
    <row r="71" spans="1:6" x14ac:dyDescent="0.2">
      <c r="A71" s="214"/>
      <c r="B71" s="91" t="str">
        <f>MISC!B17</f>
        <v>5-ALC01023-0</v>
      </c>
      <c r="C71" s="96" t="str">
        <f>MISC!C17</f>
        <v>ALC Outdoor LF Bus Beacon with Loop, 125kHz</v>
      </c>
      <c r="D71" s="90">
        <f>'Network Hardware Totals'!D17</f>
        <v>523</v>
      </c>
      <c r="E71" s="91">
        <f>'Network Hardware Totals'!E17</f>
        <v>0</v>
      </c>
      <c r="F71" s="90">
        <f t="shared" si="3"/>
        <v>0</v>
      </c>
    </row>
    <row r="72" spans="1:6" x14ac:dyDescent="0.2">
      <c r="A72" s="214"/>
      <c r="B72" s="91" t="str">
        <f>MISC!B18</f>
        <v>5-ALA00125-12</v>
      </c>
      <c r="C72" s="96" t="str">
        <f>MISC!C18</f>
        <v>LF Beacon, Bus, Primary, I/O (1/1), 1.5M, 125kHz</v>
      </c>
      <c r="D72" s="90">
        <f>'Network Hardware Totals'!D18</f>
        <v>185</v>
      </c>
      <c r="E72" s="91">
        <f>'Network Hardware Totals'!E18</f>
        <v>0</v>
      </c>
      <c r="F72" s="90">
        <f t="shared" si="3"/>
        <v>0</v>
      </c>
    </row>
    <row r="73" spans="1:6" x14ac:dyDescent="0.2">
      <c r="A73" s="214"/>
      <c r="B73" s="91" t="str">
        <f>MISC!B19</f>
        <v>5-HLA00125</v>
      </c>
      <c r="C73" s="96" t="str">
        <f>MISC!C19</f>
        <v>Handheld LF Exciter</v>
      </c>
      <c r="D73" s="90">
        <f>'Network Hardware Totals'!D19</f>
        <v>67</v>
      </c>
      <c r="E73" s="91">
        <f>'Network Hardware Totals'!E19</f>
        <v>0</v>
      </c>
      <c r="F73" s="90">
        <f t="shared" si="3"/>
        <v>0</v>
      </c>
    </row>
    <row r="74" spans="1:6" x14ac:dyDescent="0.2">
      <c r="A74" s="214"/>
      <c r="B74" s="91" t="str">
        <f>MISC!B20</f>
        <v>5-TRC00433-2</v>
      </c>
      <c r="C74" s="96" t="str">
        <f>MISC!C20</f>
        <v>RF Transmitter for ALC Supervision</v>
      </c>
      <c r="D74" s="90">
        <f>'Network Hardware Totals'!D20</f>
        <v>46</v>
      </c>
      <c r="E74" s="91">
        <f>'Network Hardware Totals'!E20</f>
        <v>0</v>
      </c>
      <c r="F74" s="90">
        <f t="shared" si="3"/>
        <v>0</v>
      </c>
    </row>
    <row r="75" spans="1:6" x14ac:dyDescent="0.2">
      <c r="A75" s="215"/>
      <c r="B75" s="91" t="str">
        <f>MISC!B21</f>
        <v>5-LFM00125</v>
      </c>
      <c r="C75" s="96" t="str">
        <f>MISC!C21</f>
        <v>LF Field Meter</v>
      </c>
      <c r="D75" s="90">
        <f>'Network Hardware Totals'!D21</f>
        <v>294</v>
      </c>
      <c r="E75" s="91">
        <f>'Network Hardware Totals'!E21</f>
        <v>0</v>
      </c>
      <c r="F75" s="90">
        <f t="shared" si="3"/>
        <v>0</v>
      </c>
    </row>
    <row r="76" spans="1:6" x14ac:dyDescent="0.2">
      <c r="A76" s="219" t="s">
        <v>107</v>
      </c>
      <c r="B76" s="77" t="str">
        <f>MISC!B22</f>
        <v>5-LFA00125</v>
      </c>
      <c r="C76" s="109" t="str">
        <f>MISC!C22</f>
        <v>Proximity Reader, Bus, 125KHz, requires prox cards</v>
      </c>
      <c r="D76" s="93">
        <f>'Network Hardware Totals'!D22</f>
        <v>95</v>
      </c>
      <c r="E76" s="92">
        <f>'Network Hardware Totals'!E22</f>
        <v>0</v>
      </c>
      <c r="F76" s="93">
        <f t="shared" si="3"/>
        <v>0</v>
      </c>
    </row>
    <row r="77" spans="1:6" x14ac:dyDescent="0.2">
      <c r="A77" s="219"/>
      <c r="B77" s="77" t="str">
        <f>MISC!B23</f>
        <v>5-WIF00485</v>
      </c>
      <c r="C77" s="109" t="str">
        <f>MISC!C23</f>
        <v>Wiegand Interface Adapter</v>
      </c>
      <c r="D77" s="93">
        <f>'Network Hardware Totals'!D23</f>
        <v>126</v>
      </c>
      <c r="E77" s="92">
        <f>'Network Hardware Totals'!E23</f>
        <v>0</v>
      </c>
      <c r="F77" s="93">
        <f t="shared" si="3"/>
        <v>0</v>
      </c>
    </row>
    <row r="78" spans="1:6" x14ac:dyDescent="0.2">
      <c r="A78" s="201" t="s">
        <v>42</v>
      </c>
      <c r="B78" s="91" t="str">
        <f>MISC!B24</f>
        <v>5-RDT09100</v>
      </c>
      <c r="C78" s="96" t="str">
        <f>MISC!C24</f>
        <v>Reader Mounting Bracket  (5 units)</v>
      </c>
      <c r="D78" s="90">
        <f>'Network Hardware Totals'!D24</f>
        <v>30</v>
      </c>
      <c r="E78" s="91">
        <f>'Network Hardware Totals'!E24</f>
        <v>0</v>
      </c>
      <c r="F78" s="90">
        <f t="shared" si="3"/>
        <v>0</v>
      </c>
    </row>
    <row r="79" spans="1:6" x14ac:dyDescent="0.2">
      <c r="A79" s="201"/>
      <c r="B79" s="91" t="str">
        <f>MISC!B25</f>
        <v>5-RDT09113</v>
      </c>
      <c r="C79" s="96" t="str">
        <f>MISC!C25</f>
        <v>Reader Surface-Mount Plastic Ring (5 units)</v>
      </c>
      <c r="D79" s="90">
        <f>'Network Hardware Totals'!D25</f>
        <v>60</v>
      </c>
      <c r="E79" s="91">
        <f>'Network Hardware Totals'!E25</f>
        <v>0</v>
      </c>
      <c r="F79" s="90">
        <f t="shared" si="3"/>
        <v>0</v>
      </c>
    </row>
    <row r="80" spans="1:6" x14ac:dyDescent="0.2">
      <c r="A80" s="201"/>
      <c r="B80" s="91" t="str">
        <f>MISC!B26</f>
        <v>5-ALC90001</v>
      </c>
      <c r="C80" s="96" t="str">
        <f>MISC!C26</f>
        <v>ALC LF Drop Ceiling Mounting Bracket (5 units)</v>
      </c>
      <c r="D80" s="90">
        <f>'Network Hardware Totals'!D26</f>
        <v>30</v>
      </c>
      <c r="E80" s="91">
        <f>'Network Hardware Totals'!E26</f>
        <v>0</v>
      </c>
      <c r="F80" s="90">
        <f t="shared" si="3"/>
        <v>0</v>
      </c>
    </row>
    <row r="81" spans="1:6" x14ac:dyDescent="0.2">
      <c r="A81" s="201"/>
      <c r="B81" s="91" t="str">
        <f>MISC!B27</f>
        <v>5-ERS01905-30P</v>
      </c>
      <c r="C81" s="96" t="str">
        <f>MISC!C27</f>
        <v>Reader Certified Cable w/ 2 RJ12 (6 pin) connectors 30 feet Plenum</v>
      </c>
      <c r="D81" s="90">
        <f>'Network Hardware Totals'!D27</f>
        <v>25</v>
      </c>
      <c r="E81" s="91">
        <v>0</v>
      </c>
      <c r="F81" s="90">
        <f>E81*D81</f>
        <v>0</v>
      </c>
    </row>
    <row r="82" spans="1:6" x14ac:dyDescent="0.2">
      <c r="A82" s="201"/>
      <c r="B82" s="91" t="str">
        <f>MISC!B28</f>
        <v>5-JBA10485</v>
      </c>
      <c r="C82" s="96" t="str">
        <f>MISC!C28</f>
        <v>RS-485 Junction Box, 4 RJ11 Ports</v>
      </c>
      <c r="D82" s="90">
        <f>'Network Hardware Totals'!D28</f>
        <v>24</v>
      </c>
      <c r="E82" s="91">
        <v>85</v>
      </c>
      <c r="F82" s="90">
        <f t="shared" si="3"/>
        <v>2040</v>
      </c>
    </row>
    <row r="83" spans="1:6" x14ac:dyDescent="0.2">
      <c r="A83" s="201"/>
      <c r="B83" s="91" t="str">
        <f>MISC!B29</f>
        <v>5-IOX00001</v>
      </c>
      <c r="C83" s="96" t="str">
        <f>MISC!C29</f>
        <v xml:space="preserve">End-of-Line Terminator for Elpas &amp; AXS inputs (5 units) </v>
      </c>
      <c r="D83" s="90">
        <v>21</v>
      </c>
      <c r="E83" s="91">
        <f>'Network Hardware Totals'!E29</f>
        <v>0</v>
      </c>
      <c r="F83" s="90">
        <f t="shared" si="3"/>
        <v>0</v>
      </c>
    </row>
    <row r="84" spans="1:6" x14ac:dyDescent="0.2">
      <c r="A84" s="220" t="s">
        <v>44</v>
      </c>
      <c r="B84" s="77" t="str">
        <f>MISC!B30</f>
        <v>5-IOB10485</v>
      </c>
      <c r="C84" s="109" t="str">
        <f>MISC!C30</f>
        <v>I/O, Bus, 6 Inputs / 6 Outputs</v>
      </c>
      <c r="D84" s="93">
        <f>'Network Hardware Totals'!D30</f>
        <v>179</v>
      </c>
      <c r="E84" s="92">
        <f>'Network Hardware Totals'!E30</f>
        <v>0</v>
      </c>
      <c r="F84" s="93">
        <f t="shared" si="3"/>
        <v>0</v>
      </c>
    </row>
    <row r="85" spans="1:6" x14ac:dyDescent="0.2">
      <c r="A85" s="220"/>
      <c r="B85" s="77" t="str">
        <f>MISC!B31</f>
        <v>5-IOB10485-1</v>
      </c>
      <c r="C85" s="109" t="str">
        <f>MISC!C31</f>
        <v>I/O, IP, 6 Inputs / 6 Outputs</v>
      </c>
      <c r="D85" s="93">
        <f>'Network Hardware Totals'!D31</f>
        <v>179</v>
      </c>
      <c r="E85" s="92">
        <f>'Network Hardware Totals'!E31</f>
        <v>0</v>
      </c>
      <c r="F85" s="93">
        <f t="shared" si="3"/>
        <v>0</v>
      </c>
    </row>
    <row r="86" spans="1:6" x14ac:dyDescent="0.2">
      <c r="A86" s="216" t="s">
        <v>45</v>
      </c>
      <c r="B86" s="91" t="str">
        <f>MISC!B32</f>
        <v>5-EDP00485</v>
      </c>
      <c r="C86" s="96" t="str">
        <f>MISC!C32</f>
        <v>ELPAS Display Panel, Bus</v>
      </c>
      <c r="D86" s="90">
        <f>'Network Hardware Totals'!D32</f>
        <v>189</v>
      </c>
      <c r="E86" s="91">
        <f>'Network Hardware Totals'!E32</f>
        <v>0</v>
      </c>
      <c r="F86" s="90">
        <f t="shared" si="3"/>
        <v>0</v>
      </c>
    </row>
    <row r="87" spans="1:6" x14ac:dyDescent="0.2">
      <c r="A87" s="216"/>
      <c r="B87" s="91" t="str">
        <f>MISC!B33</f>
        <v>5-EDP00485-1</v>
      </c>
      <c r="C87" s="96" t="str">
        <f>MISC!C33</f>
        <v>ELPAS Display Panel, IP</v>
      </c>
      <c r="D87" s="90">
        <f>'Network Hardware Totals'!D33</f>
        <v>189</v>
      </c>
      <c r="E87" s="91">
        <v>0</v>
      </c>
      <c r="F87" s="90">
        <f t="shared" si="3"/>
        <v>0</v>
      </c>
    </row>
    <row r="88" spans="1:6" x14ac:dyDescent="0.2">
      <c r="A88" s="220" t="s">
        <v>43</v>
      </c>
      <c r="B88" s="77" t="str">
        <f>MISC!B34</f>
        <v>5-ERS02603</v>
      </c>
      <c r="C88" s="109" t="str">
        <f>MISC!C34</f>
        <v xml:space="preserve">Power Supply, 24VDC, 10 Amp, Linear </v>
      </c>
      <c r="D88" s="93">
        <f>'Network Hardware Totals'!D34</f>
        <v>299</v>
      </c>
      <c r="E88" s="92">
        <v>0</v>
      </c>
      <c r="F88" s="93">
        <f t="shared" si="3"/>
        <v>0</v>
      </c>
    </row>
    <row r="89" spans="1:6" x14ac:dyDescent="0.2">
      <c r="A89" s="220"/>
      <c r="B89" s="77" t="str">
        <f>MISC!B35</f>
        <v>5-ERS02605</v>
      </c>
      <c r="C89" s="109" t="str">
        <f>MISC!C35</f>
        <v>Power Supply, 24VDC, 6 Amp, Linear (4 fused outputs) UL Listed</v>
      </c>
      <c r="D89" s="93">
        <f>'Network Hardware Totals'!D35</f>
        <v>299</v>
      </c>
      <c r="E89" s="92">
        <v>0</v>
      </c>
      <c r="F89" s="93">
        <f t="shared" si="3"/>
        <v>0</v>
      </c>
    </row>
    <row r="90" spans="1:6" x14ac:dyDescent="0.2">
      <c r="A90" s="216" t="s">
        <v>137</v>
      </c>
      <c r="B90" s="91" t="str">
        <f>MISC!B36</f>
        <v>3-6206-0, CL-8</v>
      </c>
      <c r="C90" s="96" t="str">
        <f>MISC!C36</f>
        <v>Keypad for interior use only, 56 codes</v>
      </c>
      <c r="D90" s="90">
        <f>'Network Hardware Totals'!D36</f>
        <v>44</v>
      </c>
      <c r="E90" s="91">
        <f>'Network Hardware Totals'!E36</f>
        <v>0</v>
      </c>
      <c r="F90" s="90">
        <f t="shared" si="3"/>
        <v>0</v>
      </c>
    </row>
    <row r="91" spans="1:6" x14ac:dyDescent="0.2">
      <c r="A91" s="216"/>
      <c r="B91" s="91" t="str">
        <f>MISC!B37</f>
        <v>3-6217-0, CL-80</v>
      </c>
      <c r="C91" s="96" t="str">
        <f>MISC!C37</f>
        <v>Keypad for interior/exterior use, 56 codes</v>
      </c>
      <c r="D91" s="90">
        <f>'Network Hardware Totals'!D37</f>
        <v>78</v>
      </c>
      <c r="E91" s="91">
        <f>'Network Hardware Totals'!E37</f>
        <v>0</v>
      </c>
      <c r="F91" s="90">
        <f t="shared" si="3"/>
        <v>0</v>
      </c>
    </row>
    <row r="92" spans="1:6" x14ac:dyDescent="0.2">
      <c r="A92" s="216"/>
      <c r="B92" s="91" t="str">
        <f>MISC!B38</f>
        <v>3-6218-0, CL-83</v>
      </c>
      <c r="C92" s="96" t="str">
        <f>MISC!C38</f>
        <v>CL-8 EXT metallic interior/exterior keypad, anti vandal</v>
      </c>
      <c r="D92" s="90">
        <f>'Network Hardware Totals'!D38</f>
        <v>235</v>
      </c>
      <c r="E92" s="91">
        <f>'Network Hardware Totals'!E38</f>
        <v>0</v>
      </c>
      <c r="F92" s="90">
        <f t="shared" si="3"/>
        <v>0</v>
      </c>
    </row>
    <row r="93" spans="1:6" x14ac:dyDescent="0.2">
      <c r="A93" s="216"/>
      <c r="B93" s="91" t="str">
        <f>MISC!B39</f>
        <v>3-6219-0, CL-83M</v>
      </c>
      <c r="C93" s="96" t="str">
        <f>MISC!C39</f>
        <v>CL-8 EXT mullion metallic interior/exterior keypad, anti-vandal</v>
      </c>
      <c r="D93" s="90">
        <f>'Network Hardware Totals'!D39</f>
        <v>235</v>
      </c>
      <c r="E93" s="91">
        <f>'Network Hardware Totals'!E39</f>
        <v>0</v>
      </c>
      <c r="F93" s="90">
        <f t="shared" si="3"/>
        <v>0</v>
      </c>
    </row>
    <row r="94" spans="1:6" ht="15.75" x14ac:dyDescent="0.25">
      <c r="A94" s="207" t="s">
        <v>187</v>
      </c>
      <c r="B94" s="207"/>
      <c r="C94" s="207"/>
      <c r="D94" s="207"/>
      <c r="E94" s="207"/>
      <c r="F94" s="95">
        <f>SUM(F58:F93)</f>
        <v>2040</v>
      </c>
    </row>
    <row r="95" spans="1:6" x14ac:dyDescent="0.2">
      <c r="A95" s="218"/>
      <c r="B95" s="218"/>
      <c r="C95" s="218"/>
      <c r="D95" s="218"/>
      <c r="E95" s="218"/>
      <c r="F95" s="218"/>
    </row>
    <row r="96" spans="1:6" x14ac:dyDescent="0.2">
      <c r="A96" s="218"/>
      <c r="B96" s="218"/>
      <c r="C96" s="218"/>
      <c r="D96" s="218"/>
      <c r="E96" s="218"/>
      <c r="F96" s="218"/>
    </row>
    <row r="97" spans="1:6" ht="20.25" x14ac:dyDescent="0.3">
      <c r="A97" s="217" t="s">
        <v>96</v>
      </c>
      <c r="B97" s="217"/>
      <c r="C97" s="217"/>
      <c r="D97" s="217"/>
      <c r="E97" s="217"/>
      <c r="F97" s="98">
        <f>F94+F55+F19</f>
        <v>2340</v>
      </c>
    </row>
    <row r="98" spans="1:6" x14ac:dyDescent="0.2">
      <c r="A98" s="84"/>
      <c r="B98" s="84"/>
      <c r="C98" s="84"/>
      <c r="D98" s="84"/>
      <c r="E98" s="84"/>
      <c r="F98" s="84"/>
    </row>
    <row r="99" spans="1:6" x14ac:dyDescent="0.2">
      <c r="A99" s="84"/>
      <c r="B99" s="84"/>
      <c r="C99" s="84"/>
      <c r="D99" s="84"/>
      <c r="E99" s="84"/>
      <c r="F99" s="84"/>
    </row>
  </sheetData>
  <autoFilter ref="E1:E99" xr:uid="{00000000-0009-0000-0000-000014000000}"/>
  <mergeCells count="29">
    <mergeCell ref="A68:A69"/>
    <mergeCell ref="A70:A75"/>
    <mergeCell ref="A90:A93"/>
    <mergeCell ref="A94:E94"/>
    <mergeCell ref="A97:E97"/>
    <mergeCell ref="A95:F96"/>
    <mergeCell ref="A76:A77"/>
    <mergeCell ref="A78:A83"/>
    <mergeCell ref="A84:A85"/>
    <mergeCell ref="A86:A87"/>
    <mergeCell ref="A88:A89"/>
    <mergeCell ref="A55:E55"/>
    <mergeCell ref="A56:F56"/>
    <mergeCell ref="A58:A63"/>
    <mergeCell ref="A64:A67"/>
    <mergeCell ref="A44:A47"/>
    <mergeCell ref="A48:A51"/>
    <mergeCell ref="A52:A54"/>
    <mergeCell ref="A19:E19"/>
    <mergeCell ref="A20:F20"/>
    <mergeCell ref="A22:A25"/>
    <mergeCell ref="A28:A31"/>
    <mergeCell ref="A32:A43"/>
    <mergeCell ref="A26:A27"/>
    <mergeCell ref="A1:F1"/>
    <mergeCell ref="A2:F2"/>
    <mergeCell ref="A9:F9"/>
    <mergeCell ref="A10:A18"/>
    <mergeCell ref="A3:A8"/>
  </mergeCells>
  <pageMargins left="0.7" right="0.7" top="0.75" bottom="0.75" header="0.3" footer="0.3"/>
  <pageSetup scale="65"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pageSetUpPr fitToPage="1"/>
  </sheetPr>
  <dimension ref="A1:F40"/>
  <sheetViews>
    <sheetView topLeftCell="A22" workbookViewId="0">
      <selection activeCell="H11" sqref="H11"/>
    </sheetView>
  </sheetViews>
  <sheetFormatPr baseColWidth="10" defaultColWidth="9.140625" defaultRowHeight="12.75" x14ac:dyDescent="0.2"/>
  <cols>
    <col min="1" max="1" width="9.42578125" customWidth="1"/>
    <col min="2" max="2" width="14.5703125" customWidth="1"/>
    <col min="3" max="3" width="67.5703125" customWidth="1"/>
    <col min="6" max="6" width="14.5703125" customWidth="1"/>
  </cols>
  <sheetData>
    <row r="1" spans="1:6" ht="18" x14ac:dyDescent="0.25">
      <c r="A1" s="172" t="s">
        <v>92</v>
      </c>
      <c r="B1" s="172"/>
      <c r="C1" s="172"/>
      <c r="D1" s="172"/>
      <c r="E1" s="172"/>
      <c r="F1" s="172"/>
    </row>
    <row r="2" spans="1:6" x14ac:dyDescent="0.2">
      <c r="A2" s="124" t="s">
        <v>93</v>
      </c>
      <c r="B2" s="124"/>
      <c r="C2" s="124"/>
      <c r="D2" s="124"/>
      <c r="E2" s="124"/>
      <c r="F2" s="124"/>
    </row>
    <row r="3" spans="1:6" x14ac:dyDescent="0.2">
      <c r="A3" s="83" t="s">
        <v>116</v>
      </c>
      <c r="B3" s="83" t="s">
        <v>117</v>
      </c>
      <c r="C3" s="83" t="s">
        <v>0</v>
      </c>
      <c r="D3" s="83" t="s">
        <v>118</v>
      </c>
      <c r="E3" s="83" t="s">
        <v>119</v>
      </c>
      <c r="F3" s="83" t="s">
        <v>3</v>
      </c>
    </row>
    <row r="4" spans="1:6" ht="12.75" customHeight="1" x14ac:dyDescent="0.2">
      <c r="A4" s="170" t="s">
        <v>94</v>
      </c>
      <c r="B4" s="42" t="s">
        <v>78</v>
      </c>
      <c r="C4" s="54" t="s">
        <v>79</v>
      </c>
      <c r="D4" s="30">
        <v>59</v>
      </c>
      <c r="E4" s="51">
        <v>0</v>
      </c>
      <c r="F4" s="30">
        <f t="shared" ref="F4:F36" si="0">E4*D4</f>
        <v>0</v>
      </c>
    </row>
    <row r="5" spans="1:6" x14ac:dyDescent="0.2">
      <c r="A5" s="170"/>
      <c r="B5" s="42" t="s">
        <v>80</v>
      </c>
      <c r="C5" s="54" t="s">
        <v>256</v>
      </c>
      <c r="D5" s="30">
        <v>17</v>
      </c>
      <c r="E5" s="51">
        <v>0</v>
      </c>
      <c r="F5" s="30">
        <f t="shared" si="0"/>
        <v>0</v>
      </c>
    </row>
    <row r="6" spans="1:6" x14ac:dyDescent="0.2">
      <c r="A6" s="170"/>
      <c r="B6" s="42" t="s">
        <v>81</v>
      </c>
      <c r="C6" s="54" t="s">
        <v>257</v>
      </c>
      <c r="D6" s="30">
        <v>18</v>
      </c>
      <c r="E6" s="51"/>
      <c r="F6" s="30">
        <f t="shared" si="0"/>
        <v>0</v>
      </c>
    </row>
    <row r="7" spans="1:6" x14ac:dyDescent="0.2">
      <c r="A7" s="170"/>
      <c r="B7" s="42" t="s">
        <v>82</v>
      </c>
      <c r="C7" s="54" t="s">
        <v>258</v>
      </c>
      <c r="D7" s="30">
        <v>15</v>
      </c>
      <c r="E7" s="51"/>
      <c r="F7" s="30">
        <f t="shared" si="0"/>
        <v>0</v>
      </c>
    </row>
    <row r="8" spans="1:6" ht="12.75" customHeight="1" x14ac:dyDescent="0.2">
      <c r="A8" s="182" t="s">
        <v>165</v>
      </c>
      <c r="B8" s="102" t="s">
        <v>100</v>
      </c>
      <c r="C8" s="47" t="s">
        <v>195</v>
      </c>
      <c r="D8" s="2">
        <v>72</v>
      </c>
      <c r="E8" s="50"/>
      <c r="F8" s="2">
        <f t="shared" si="0"/>
        <v>0</v>
      </c>
    </row>
    <row r="9" spans="1:6" ht="12.75" customHeight="1" x14ac:dyDescent="0.2">
      <c r="A9" s="183"/>
      <c r="B9" s="121" t="s">
        <v>269</v>
      </c>
      <c r="C9" s="47" t="s">
        <v>270</v>
      </c>
      <c r="D9" s="2">
        <v>150</v>
      </c>
      <c r="E9" s="50"/>
      <c r="F9" s="2">
        <f t="shared" si="0"/>
        <v>0</v>
      </c>
    </row>
    <row r="10" spans="1:6" x14ac:dyDescent="0.2">
      <c r="A10" s="173" t="s">
        <v>196</v>
      </c>
      <c r="B10" s="107" t="s">
        <v>168</v>
      </c>
      <c r="C10" s="39" t="s">
        <v>169</v>
      </c>
      <c r="D10" s="30">
        <v>63</v>
      </c>
      <c r="E10" s="51">
        <v>0</v>
      </c>
      <c r="F10" s="30">
        <f t="shared" si="0"/>
        <v>0</v>
      </c>
    </row>
    <row r="11" spans="1:6" ht="12.75" customHeight="1" x14ac:dyDescent="0.2">
      <c r="A11" s="174"/>
      <c r="B11" s="107" t="s">
        <v>268</v>
      </c>
      <c r="C11" s="39" t="s">
        <v>266</v>
      </c>
      <c r="D11" s="30">
        <v>99</v>
      </c>
      <c r="E11" s="51">
        <v>0</v>
      </c>
      <c r="F11" s="30">
        <f t="shared" si="0"/>
        <v>0</v>
      </c>
    </row>
    <row r="12" spans="1:6" ht="12.75" customHeight="1" x14ac:dyDescent="0.2">
      <c r="A12" s="174"/>
      <c r="B12" s="107" t="s">
        <v>194</v>
      </c>
      <c r="C12" s="39" t="s">
        <v>267</v>
      </c>
      <c r="D12" s="30">
        <v>166</v>
      </c>
      <c r="E12" s="51">
        <v>0</v>
      </c>
      <c r="F12" s="30">
        <f t="shared" si="0"/>
        <v>0</v>
      </c>
    </row>
    <row r="13" spans="1:6" ht="12.75" customHeight="1" x14ac:dyDescent="0.2">
      <c r="A13" s="174"/>
      <c r="B13" s="107" t="s">
        <v>170</v>
      </c>
      <c r="C13" s="42" t="s">
        <v>171</v>
      </c>
      <c r="D13" s="30">
        <v>72</v>
      </c>
      <c r="E13" s="51">
        <v>0</v>
      </c>
      <c r="F13" s="30">
        <f t="shared" si="0"/>
        <v>0</v>
      </c>
    </row>
    <row r="14" spans="1:6" ht="12.75" customHeight="1" x14ac:dyDescent="0.2">
      <c r="A14" s="175" t="s">
        <v>204</v>
      </c>
      <c r="B14" s="63" t="s">
        <v>197</v>
      </c>
      <c r="C14" s="73" t="s">
        <v>198</v>
      </c>
      <c r="D14" s="106">
        <v>69</v>
      </c>
      <c r="E14" s="79">
        <v>0</v>
      </c>
      <c r="F14" s="64">
        <f t="shared" si="0"/>
        <v>0</v>
      </c>
    </row>
    <row r="15" spans="1:6" x14ac:dyDescent="0.2">
      <c r="A15" s="175"/>
      <c r="B15" s="63" t="s">
        <v>275</v>
      </c>
      <c r="C15" s="73" t="s">
        <v>276</v>
      </c>
      <c r="D15" s="106">
        <v>85</v>
      </c>
      <c r="E15" s="79">
        <v>400</v>
      </c>
      <c r="F15" s="64">
        <f t="shared" si="0"/>
        <v>34000</v>
      </c>
    </row>
    <row r="16" spans="1:6" x14ac:dyDescent="0.2">
      <c r="A16" s="175"/>
      <c r="B16" s="63" t="s">
        <v>163</v>
      </c>
      <c r="C16" s="73" t="s">
        <v>199</v>
      </c>
      <c r="D16" s="106">
        <v>89</v>
      </c>
      <c r="E16" s="79">
        <v>0</v>
      </c>
      <c r="F16" s="64">
        <f t="shared" si="0"/>
        <v>0</v>
      </c>
    </row>
    <row r="17" spans="1:6" x14ac:dyDescent="0.2">
      <c r="A17" s="175"/>
      <c r="B17" s="63" t="s">
        <v>134</v>
      </c>
      <c r="C17" s="73" t="s">
        <v>259</v>
      </c>
      <c r="D17" s="106">
        <v>12</v>
      </c>
      <c r="E17" s="79">
        <v>10</v>
      </c>
      <c r="F17" s="64">
        <f t="shared" si="0"/>
        <v>120</v>
      </c>
    </row>
    <row r="18" spans="1:6" x14ac:dyDescent="0.2">
      <c r="A18" s="175"/>
      <c r="B18" s="63" t="s">
        <v>83</v>
      </c>
      <c r="C18" s="73" t="s">
        <v>260</v>
      </c>
      <c r="D18" s="106">
        <v>28</v>
      </c>
      <c r="E18" s="79"/>
      <c r="F18" s="64">
        <f t="shared" si="0"/>
        <v>0</v>
      </c>
    </row>
    <row r="19" spans="1:6" x14ac:dyDescent="0.2">
      <c r="A19" s="175"/>
      <c r="B19" s="63" t="s">
        <v>214</v>
      </c>
      <c r="C19" s="73" t="s">
        <v>261</v>
      </c>
      <c r="D19" s="106">
        <v>12</v>
      </c>
      <c r="E19" s="79"/>
      <c r="F19" s="64">
        <f t="shared" si="0"/>
        <v>0</v>
      </c>
    </row>
    <row r="20" spans="1:6" x14ac:dyDescent="0.2">
      <c r="A20" s="175"/>
      <c r="B20" s="63" t="s">
        <v>215</v>
      </c>
      <c r="C20" s="73" t="s">
        <v>262</v>
      </c>
      <c r="D20" s="106">
        <v>12</v>
      </c>
      <c r="E20" s="79"/>
      <c r="F20" s="64">
        <f t="shared" si="0"/>
        <v>0</v>
      </c>
    </row>
    <row r="21" spans="1:6" x14ac:dyDescent="0.2">
      <c r="A21" s="175"/>
      <c r="B21" s="63" t="s">
        <v>277</v>
      </c>
      <c r="C21" s="73" t="s">
        <v>280</v>
      </c>
      <c r="D21" s="106">
        <v>12</v>
      </c>
      <c r="E21" s="79"/>
      <c r="F21" s="64">
        <f t="shared" si="0"/>
        <v>0</v>
      </c>
    </row>
    <row r="22" spans="1:6" x14ac:dyDescent="0.2">
      <c r="A22" s="175"/>
      <c r="B22" s="63" t="s">
        <v>278</v>
      </c>
      <c r="C22" s="73" t="s">
        <v>281</v>
      </c>
      <c r="D22" s="106">
        <v>48</v>
      </c>
      <c r="E22" s="79"/>
      <c r="F22" s="64">
        <f t="shared" si="0"/>
        <v>0</v>
      </c>
    </row>
    <row r="23" spans="1:6" x14ac:dyDescent="0.2">
      <c r="A23" s="175"/>
      <c r="B23" s="63" t="s">
        <v>279</v>
      </c>
      <c r="C23" s="73" t="s">
        <v>282</v>
      </c>
      <c r="D23" s="106">
        <v>56</v>
      </c>
      <c r="E23" s="79"/>
      <c r="F23" s="64">
        <f t="shared" si="0"/>
        <v>0</v>
      </c>
    </row>
    <row r="24" spans="1:6" ht="12.75" customHeight="1" x14ac:dyDescent="0.2">
      <c r="A24" s="175"/>
      <c r="B24" s="63" t="s">
        <v>84</v>
      </c>
      <c r="C24" s="73" t="s">
        <v>263</v>
      </c>
      <c r="D24" s="106">
        <v>23</v>
      </c>
      <c r="E24" s="79"/>
      <c r="F24" s="64">
        <f t="shared" si="0"/>
        <v>0</v>
      </c>
    </row>
    <row r="25" spans="1:6" x14ac:dyDescent="0.2">
      <c r="A25" s="175"/>
      <c r="B25" s="63" t="s">
        <v>85</v>
      </c>
      <c r="C25" s="73" t="s">
        <v>178</v>
      </c>
      <c r="D25" s="106">
        <v>121</v>
      </c>
      <c r="E25" s="79"/>
      <c r="F25" s="64">
        <f t="shared" si="0"/>
        <v>0</v>
      </c>
    </row>
    <row r="26" spans="1:6" ht="12.75" customHeight="1" x14ac:dyDescent="0.2">
      <c r="A26" s="170" t="s">
        <v>200</v>
      </c>
      <c r="B26" s="42" t="s">
        <v>201</v>
      </c>
      <c r="C26" s="54" t="s">
        <v>202</v>
      </c>
      <c r="D26" s="30">
        <v>59</v>
      </c>
      <c r="E26" s="51">
        <v>0</v>
      </c>
      <c r="F26" s="30">
        <f t="shared" si="0"/>
        <v>0</v>
      </c>
    </row>
    <row r="27" spans="1:6" ht="12.75" customHeight="1" x14ac:dyDescent="0.2">
      <c r="A27" s="170"/>
      <c r="B27" s="42" t="s">
        <v>86</v>
      </c>
      <c r="C27" s="54" t="s">
        <v>87</v>
      </c>
      <c r="D27" s="30">
        <v>27</v>
      </c>
      <c r="E27" s="51"/>
      <c r="F27" s="30">
        <f t="shared" si="0"/>
        <v>0</v>
      </c>
    </row>
    <row r="28" spans="1:6" x14ac:dyDescent="0.2">
      <c r="A28" s="170"/>
      <c r="B28" s="42" t="s">
        <v>88</v>
      </c>
      <c r="C28" s="54" t="s">
        <v>89</v>
      </c>
      <c r="D28" s="30">
        <v>14</v>
      </c>
      <c r="E28" s="51"/>
      <c r="F28" s="30">
        <f t="shared" si="0"/>
        <v>0</v>
      </c>
    </row>
    <row r="29" spans="1:6" x14ac:dyDescent="0.2">
      <c r="A29" s="170"/>
      <c r="B29" s="42" t="s">
        <v>90</v>
      </c>
      <c r="C29" s="54" t="s">
        <v>91</v>
      </c>
      <c r="D29" s="30">
        <v>37</v>
      </c>
      <c r="E29" s="51"/>
      <c r="F29" s="30">
        <f t="shared" si="0"/>
        <v>0</v>
      </c>
    </row>
    <row r="30" spans="1:6" x14ac:dyDescent="0.2">
      <c r="A30" s="176" t="s">
        <v>203</v>
      </c>
      <c r="B30" s="63" t="s">
        <v>172</v>
      </c>
      <c r="C30" s="73" t="s">
        <v>173</v>
      </c>
      <c r="D30" s="64">
        <v>89</v>
      </c>
      <c r="E30" s="79"/>
      <c r="F30" s="64">
        <f t="shared" si="0"/>
        <v>0</v>
      </c>
    </row>
    <row r="31" spans="1:6" x14ac:dyDescent="0.2">
      <c r="A31" s="177"/>
      <c r="B31" s="63" t="s">
        <v>174</v>
      </c>
      <c r="C31" s="73" t="s">
        <v>175</v>
      </c>
      <c r="D31" s="64">
        <v>116</v>
      </c>
      <c r="E31" s="79"/>
      <c r="F31" s="64">
        <f t="shared" si="0"/>
        <v>0</v>
      </c>
    </row>
    <row r="32" spans="1:6" x14ac:dyDescent="0.2">
      <c r="A32" s="177"/>
      <c r="B32" s="63" t="s">
        <v>176</v>
      </c>
      <c r="C32" s="73" t="s">
        <v>264</v>
      </c>
      <c r="D32" s="64">
        <v>23</v>
      </c>
      <c r="E32" s="79"/>
      <c r="F32" s="64">
        <f t="shared" si="0"/>
        <v>0</v>
      </c>
    </row>
    <row r="33" spans="1:6" x14ac:dyDescent="0.2">
      <c r="A33" s="178"/>
      <c r="B33" s="63" t="s">
        <v>177</v>
      </c>
      <c r="C33" s="73" t="s">
        <v>265</v>
      </c>
      <c r="D33" s="64">
        <v>15</v>
      </c>
      <c r="E33" s="79"/>
      <c r="F33" s="64">
        <f t="shared" si="0"/>
        <v>0</v>
      </c>
    </row>
    <row r="34" spans="1:6" x14ac:dyDescent="0.2">
      <c r="A34" s="179" t="s">
        <v>158</v>
      </c>
      <c r="B34" s="42" t="s">
        <v>159</v>
      </c>
      <c r="C34" s="54" t="s">
        <v>160</v>
      </c>
      <c r="D34" s="30">
        <v>61</v>
      </c>
      <c r="E34" s="51"/>
      <c r="F34" s="30">
        <f t="shared" si="0"/>
        <v>0</v>
      </c>
    </row>
    <row r="35" spans="1:6" x14ac:dyDescent="0.2">
      <c r="A35" s="180"/>
      <c r="B35" s="42" t="s">
        <v>161</v>
      </c>
      <c r="C35" s="54" t="s">
        <v>162</v>
      </c>
      <c r="D35" s="30">
        <v>73</v>
      </c>
      <c r="E35" s="51"/>
      <c r="F35" s="30">
        <f t="shared" si="0"/>
        <v>0</v>
      </c>
    </row>
    <row r="36" spans="1:6" x14ac:dyDescent="0.2">
      <c r="A36" s="181"/>
      <c r="B36" s="42" t="s">
        <v>105</v>
      </c>
      <c r="C36" s="54" t="s">
        <v>106</v>
      </c>
      <c r="D36" s="30">
        <v>82</v>
      </c>
      <c r="E36" s="51"/>
      <c r="F36" s="30">
        <f t="shared" si="0"/>
        <v>0</v>
      </c>
    </row>
    <row r="37" spans="1:6" ht="15.75" x14ac:dyDescent="0.25">
      <c r="A37" s="168" t="s">
        <v>16</v>
      </c>
      <c r="B37" s="168"/>
      <c r="C37" s="168"/>
      <c r="D37" s="168"/>
      <c r="E37" s="168"/>
      <c r="F37" s="4">
        <f>SUM(F4:F36)</f>
        <v>34120</v>
      </c>
    </row>
    <row r="40" spans="1:6" x14ac:dyDescent="0.2">
      <c r="B40" s="55" t="s">
        <v>95</v>
      </c>
      <c r="C40" s="37">
        <f>(E4+E8+E9+E10+E13+E14+E15+E26+E30+E31+E34+E35+E36)</f>
        <v>400</v>
      </c>
    </row>
  </sheetData>
  <sheetProtection password="C4C4" sheet="1" objects="1" scenarios="1"/>
  <mergeCells count="10">
    <mergeCell ref="A1:F1"/>
    <mergeCell ref="A2:F2"/>
    <mergeCell ref="A4:A7"/>
    <mergeCell ref="A10:A13"/>
    <mergeCell ref="A37:E37"/>
    <mergeCell ref="A14:A25"/>
    <mergeCell ref="A26:A29"/>
    <mergeCell ref="A30:A33"/>
    <mergeCell ref="A34:A36"/>
    <mergeCell ref="A8:A9"/>
  </mergeCells>
  <pageMargins left="0.7" right="0.7" top="0.75" bottom="0.75" header="0.3" footer="0.3"/>
  <pageSetup scale="74"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F37"/>
  <sheetViews>
    <sheetView topLeftCell="A13" workbookViewId="0">
      <selection activeCell="H13" sqref="H13"/>
    </sheetView>
  </sheetViews>
  <sheetFormatPr baseColWidth="10" defaultColWidth="9.140625" defaultRowHeight="12.75" x14ac:dyDescent="0.2"/>
  <cols>
    <col min="1" max="1" width="9.140625" bestFit="1" customWidth="1"/>
    <col min="2" max="2" width="14.85546875" bestFit="1" customWidth="1"/>
    <col min="3" max="3" width="66" customWidth="1"/>
    <col min="4" max="4" width="9.140625" style="3" bestFit="1"/>
    <col min="5" max="5" width="8.5703125" bestFit="1" customWidth="1"/>
    <col min="6" max="6" width="21.42578125" style="3" customWidth="1"/>
    <col min="8" max="8" width="17.42578125" bestFit="1" customWidth="1"/>
    <col min="9" max="9" width="8" bestFit="1" customWidth="1"/>
  </cols>
  <sheetData>
    <row r="1" spans="1:6" ht="18" x14ac:dyDescent="0.25">
      <c r="A1" s="172" t="str">
        <f>'Building Total'!C25</f>
        <v>Piso 1</v>
      </c>
      <c r="B1" s="172"/>
      <c r="C1" s="172"/>
      <c r="D1" s="172"/>
      <c r="E1" s="172"/>
      <c r="F1" s="172"/>
    </row>
    <row r="2" spans="1:6" x14ac:dyDescent="0.2">
      <c r="A2" s="140" t="s">
        <v>9</v>
      </c>
      <c r="B2" s="141"/>
      <c r="C2" s="141"/>
      <c r="D2" s="141"/>
      <c r="E2" s="141"/>
      <c r="F2" s="142"/>
    </row>
    <row r="3" spans="1:6" ht="12.75" customHeight="1" x14ac:dyDescent="0.2">
      <c r="A3" s="68" t="s">
        <v>116</v>
      </c>
      <c r="B3" s="68" t="s">
        <v>117</v>
      </c>
      <c r="C3" s="68" t="s">
        <v>0</v>
      </c>
      <c r="D3" s="68" t="s">
        <v>118</v>
      </c>
      <c r="E3" s="68" t="s">
        <v>119</v>
      </c>
      <c r="F3" s="68" t="s">
        <v>3</v>
      </c>
    </row>
    <row r="4" spans="1:6" x14ac:dyDescent="0.2">
      <c r="A4" s="184" t="s">
        <v>37</v>
      </c>
      <c r="B4" s="1" t="s">
        <v>10</v>
      </c>
      <c r="C4" s="1" t="s">
        <v>30</v>
      </c>
      <c r="D4" s="2">
        <v>279</v>
      </c>
      <c r="E4" s="50"/>
      <c r="F4" s="2">
        <f t="shared" ref="F4:F25" si="0">E4*D4</f>
        <v>0</v>
      </c>
    </row>
    <row r="5" spans="1:6" x14ac:dyDescent="0.2">
      <c r="A5" s="185"/>
      <c r="B5" s="66" t="s">
        <v>179</v>
      </c>
      <c r="C5" s="1" t="s">
        <v>31</v>
      </c>
      <c r="D5" s="2">
        <v>279</v>
      </c>
      <c r="E5" s="50"/>
      <c r="F5" s="2">
        <f t="shared" si="0"/>
        <v>0</v>
      </c>
    </row>
    <row r="6" spans="1:6" x14ac:dyDescent="0.2">
      <c r="A6" s="185"/>
      <c r="B6" s="1" t="s">
        <v>32</v>
      </c>
      <c r="C6" s="1" t="s">
        <v>33</v>
      </c>
      <c r="D6" s="2">
        <v>279</v>
      </c>
      <c r="E6" s="50">
        <v>0</v>
      </c>
      <c r="F6" s="2">
        <f t="shared" si="0"/>
        <v>0</v>
      </c>
    </row>
    <row r="7" spans="1:6" x14ac:dyDescent="0.2">
      <c r="A7" s="185"/>
      <c r="B7" s="66" t="s">
        <v>180</v>
      </c>
      <c r="C7" s="1" t="s">
        <v>34</v>
      </c>
      <c r="D7" s="2">
        <v>279</v>
      </c>
      <c r="E7" s="50">
        <v>0</v>
      </c>
      <c r="F7" s="2">
        <f t="shared" si="0"/>
        <v>0</v>
      </c>
    </row>
    <row r="8" spans="1:6" x14ac:dyDescent="0.2">
      <c r="A8" s="185"/>
      <c r="B8" s="26" t="s">
        <v>28</v>
      </c>
      <c r="C8" s="25" t="s">
        <v>27</v>
      </c>
      <c r="D8" s="2">
        <v>427</v>
      </c>
      <c r="E8" s="50">
        <v>0</v>
      </c>
      <c r="F8" s="2">
        <f t="shared" si="0"/>
        <v>0</v>
      </c>
    </row>
    <row r="9" spans="1:6" ht="12.75" customHeight="1" x14ac:dyDescent="0.2">
      <c r="A9" s="186"/>
      <c r="B9" s="56" t="s">
        <v>181</v>
      </c>
      <c r="C9" s="25" t="s">
        <v>29</v>
      </c>
      <c r="D9" s="2">
        <v>482</v>
      </c>
      <c r="E9" s="50">
        <v>0</v>
      </c>
      <c r="F9" s="2">
        <f t="shared" si="0"/>
        <v>0</v>
      </c>
    </row>
    <row r="10" spans="1:6" x14ac:dyDescent="0.2">
      <c r="A10" s="164" t="s">
        <v>38</v>
      </c>
      <c r="B10" s="29" t="s">
        <v>12</v>
      </c>
      <c r="C10" s="29" t="s">
        <v>13</v>
      </c>
      <c r="D10" s="30">
        <v>149</v>
      </c>
      <c r="E10" s="51">
        <v>0</v>
      </c>
      <c r="F10" s="30">
        <f t="shared" si="0"/>
        <v>0</v>
      </c>
    </row>
    <row r="11" spans="1:6" ht="12.75" customHeight="1" x14ac:dyDescent="0.2">
      <c r="A11" s="166"/>
      <c r="B11" s="32" t="s">
        <v>35</v>
      </c>
      <c r="C11" s="33" t="s">
        <v>36</v>
      </c>
      <c r="D11" s="30">
        <v>149</v>
      </c>
      <c r="E11" s="51">
        <v>0</v>
      </c>
      <c r="F11" s="30">
        <f>E11*D11</f>
        <v>0</v>
      </c>
    </row>
    <row r="12" spans="1:6" x14ac:dyDescent="0.2">
      <c r="A12" s="184" t="s">
        <v>41</v>
      </c>
      <c r="B12" s="66" t="s">
        <v>205</v>
      </c>
      <c r="C12" s="66" t="s">
        <v>206</v>
      </c>
      <c r="D12" s="2">
        <v>215</v>
      </c>
      <c r="E12" s="50">
        <v>0</v>
      </c>
      <c r="F12" s="2">
        <f t="shared" si="0"/>
        <v>0</v>
      </c>
    </row>
    <row r="13" spans="1:6" x14ac:dyDescent="0.2">
      <c r="A13" s="185"/>
      <c r="B13" s="1" t="s">
        <v>25</v>
      </c>
      <c r="C13" s="1" t="s">
        <v>26</v>
      </c>
      <c r="D13" s="2">
        <v>185</v>
      </c>
      <c r="E13" s="50">
        <v>0</v>
      </c>
      <c r="F13" s="2">
        <f t="shared" si="0"/>
        <v>0</v>
      </c>
    </row>
    <row r="14" spans="1:6" ht="12.75" customHeight="1" x14ac:dyDescent="0.2">
      <c r="A14" s="164" t="s">
        <v>42</v>
      </c>
      <c r="B14" s="29" t="s">
        <v>17</v>
      </c>
      <c r="C14" s="29" t="s">
        <v>18</v>
      </c>
      <c r="D14" s="30">
        <v>30</v>
      </c>
      <c r="E14" s="52">
        <v>0</v>
      </c>
      <c r="F14" s="30">
        <f t="shared" si="0"/>
        <v>0</v>
      </c>
    </row>
    <row r="15" spans="1:6" x14ac:dyDescent="0.2">
      <c r="A15" s="165"/>
      <c r="B15" s="31" t="s">
        <v>22</v>
      </c>
      <c r="C15" s="31" t="s">
        <v>23</v>
      </c>
      <c r="D15" s="30">
        <v>60</v>
      </c>
      <c r="E15" s="51">
        <v>0</v>
      </c>
      <c r="F15" s="30">
        <f t="shared" si="0"/>
        <v>0</v>
      </c>
    </row>
    <row r="16" spans="1:6" x14ac:dyDescent="0.2">
      <c r="A16" s="165"/>
      <c r="B16" s="42" t="s">
        <v>207</v>
      </c>
      <c r="C16" s="42" t="s">
        <v>208</v>
      </c>
      <c r="D16" s="30">
        <v>30</v>
      </c>
      <c r="E16" s="51">
        <v>0</v>
      </c>
      <c r="F16" s="30">
        <f t="shared" si="0"/>
        <v>0</v>
      </c>
    </row>
    <row r="17" spans="1:6" x14ac:dyDescent="0.2">
      <c r="A17" s="165"/>
      <c r="B17" s="51" t="s">
        <v>102</v>
      </c>
      <c r="C17" s="29" t="str">
        <f>IF(B17=MISC!B27,MISC!C27,IF(B17=MISC!B25,MISC!C25,IF(B17=MISC!#REF!,MISC!#REF!)))</f>
        <v>Reader Certified Cable w/ 2 RJ12 (6 pin) connectors 30 feet Plenum</v>
      </c>
      <c r="D17" s="30">
        <f>IF(B17=MISC!B25,MISC!D25,IF(B17=MISC!B27,MISC!D27,IF(B17=MISC!#REF!,MISC!#REF!)))</f>
        <v>25</v>
      </c>
      <c r="E17" s="52">
        <f>(SUM(E4:E10))+SUM(E12:E13)+SUM(E20:E22)</f>
        <v>0</v>
      </c>
      <c r="F17" s="30">
        <f t="shared" si="0"/>
        <v>0</v>
      </c>
    </row>
    <row r="18" spans="1:6" ht="12.75" customHeight="1" x14ac:dyDescent="0.2">
      <c r="A18" s="165"/>
      <c r="B18" s="65" t="s">
        <v>182</v>
      </c>
      <c r="C18" s="31" t="s">
        <v>24</v>
      </c>
      <c r="D18" s="30">
        <v>24</v>
      </c>
      <c r="E18" s="52">
        <f>E17</f>
        <v>0</v>
      </c>
      <c r="F18" s="30">
        <f t="shared" si="0"/>
        <v>0</v>
      </c>
    </row>
    <row r="19" spans="1:6" ht="12.75" customHeight="1" x14ac:dyDescent="0.2">
      <c r="A19" s="166"/>
      <c r="B19" s="74" t="s">
        <v>114</v>
      </c>
      <c r="C19" s="42" t="s">
        <v>115</v>
      </c>
      <c r="D19" s="30">
        <v>44</v>
      </c>
      <c r="E19" s="51"/>
      <c r="F19" s="30">
        <f t="shared" si="0"/>
        <v>0</v>
      </c>
    </row>
    <row r="20" spans="1:6" x14ac:dyDescent="0.2">
      <c r="A20" s="187" t="s">
        <v>44</v>
      </c>
      <c r="B20" s="81" t="s">
        <v>183</v>
      </c>
      <c r="C20" s="34" t="s">
        <v>46</v>
      </c>
      <c r="D20" s="28">
        <v>179</v>
      </c>
      <c r="E20" s="53"/>
      <c r="F20" s="28">
        <f t="shared" si="0"/>
        <v>0</v>
      </c>
    </row>
    <row r="21" spans="1:6" ht="12.75" customHeight="1" x14ac:dyDescent="0.2">
      <c r="A21" s="188"/>
      <c r="B21" s="81" t="s">
        <v>184</v>
      </c>
      <c r="C21" s="34" t="s">
        <v>47</v>
      </c>
      <c r="D21" s="28">
        <v>179</v>
      </c>
      <c r="E21" s="53"/>
      <c r="F21" s="28">
        <f t="shared" si="0"/>
        <v>0</v>
      </c>
    </row>
    <row r="22" spans="1:6" x14ac:dyDescent="0.2">
      <c r="A22" s="189" t="s">
        <v>45</v>
      </c>
      <c r="B22" s="29" t="s">
        <v>48</v>
      </c>
      <c r="C22" s="31" t="s">
        <v>49</v>
      </c>
      <c r="D22" s="30">
        <v>189</v>
      </c>
      <c r="E22" s="51"/>
      <c r="F22" s="30">
        <f t="shared" si="0"/>
        <v>0</v>
      </c>
    </row>
    <row r="23" spans="1:6" ht="12.75" customHeight="1" x14ac:dyDescent="0.2">
      <c r="A23" s="190"/>
      <c r="B23" s="29" t="s">
        <v>50</v>
      </c>
      <c r="C23" s="31" t="s">
        <v>51</v>
      </c>
      <c r="D23" s="30">
        <v>189</v>
      </c>
      <c r="E23" s="51"/>
      <c r="F23" s="30">
        <f t="shared" si="0"/>
        <v>0</v>
      </c>
    </row>
    <row r="24" spans="1:6" x14ac:dyDescent="0.2">
      <c r="A24" s="185" t="s">
        <v>43</v>
      </c>
      <c r="B24" s="24" t="s">
        <v>39</v>
      </c>
      <c r="C24" s="24" t="s">
        <v>40</v>
      </c>
      <c r="D24" s="2">
        <v>299</v>
      </c>
      <c r="E24" s="50"/>
      <c r="F24" s="2">
        <f t="shared" ref="F24" si="1">E24*D24</f>
        <v>0</v>
      </c>
    </row>
    <row r="25" spans="1:6" x14ac:dyDescent="0.2">
      <c r="A25" s="186"/>
      <c r="B25" s="46" t="s">
        <v>108</v>
      </c>
      <c r="C25" s="46" t="s">
        <v>109</v>
      </c>
      <c r="D25" s="2">
        <v>299</v>
      </c>
      <c r="E25" s="50"/>
      <c r="F25" s="2">
        <f t="shared" si="0"/>
        <v>0</v>
      </c>
    </row>
    <row r="26" spans="1:6" ht="15.75" x14ac:dyDescent="0.25">
      <c r="A26" s="151" t="s">
        <v>16</v>
      </c>
      <c r="B26" s="152"/>
      <c r="C26" s="152"/>
      <c r="D26" s="152"/>
      <c r="E26" s="153"/>
      <c r="F26" s="4">
        <f>SUM(F2:F25)</f>
        <v>0</v>
      </c>
    </row>
    <row r="29" spans="1:6" x14ac:dyDescent="0.2">
      <c r="B29" s="36" t="s">
        <v>52</v>
      </c>
      <c r="C29" s="37">
        <f>SUM(E4:E13)</f>
        <v>0</v>
      </c>
    </row>
    <row r="30" spans="1:6" x14ac:dyDescent="0.2">
      <c r="B30" s="36" t="s">
        <v>53</v>
      </c>
      <c r="C30" s="37">
        <f>(0.1*SUM(E4:E9))+(0.03*E10)+(0.075*E11)+(0.25*E12)+(0.075*SUM(E13:E13))+(0.06*E22)+(0.1*E23)+(0.125*E20)+(0.15*E21)</f>
        <v>0</v>
      </c>
    </row>
    <row r="31" spans="1:6" x14ac:dyDescent="0.2">
      <c r="B31" s="36" t="s">
        <v>54</v>
      </c>
      <c r="C31" s="35" t="str">
        <f>IF(OR(C30&lt;=((E24*10)+(E25*6)-1),C30=0),"OK","More Power")</f>
        <v>OK</v>
      </c>
    </row>
    <row r="32" spans="1:6" x14ac:dyDescent="0.2">
      <c r="B32" s="38" t="s">
        <v>55</v>
      </c>
      <c r="C32" s="40" t="str">
        <f>IF(IF(AND((E4+E5+E8+E9)=0,(E6+E7+E10+E12+E13+E20+E22)=0),0,(E6+E7+E10+E12+E13+E20+E22)/(E4+E5+E8+E9)&gt;15),"Too Many","OK")</f>
        <v>OK</v>
      </c>
    </row>
    <row r="33" spans="1:3" x14ac:dyDescent="0.2">
      <c r="A33" s="22"/>
      <c r="B33" s="71" t="s">
        <v>135</v>
      </c>
      <c r="C33" s="72" t="str">
        <f>IF(IF(AND(E6=0,E7=0),0,(E6+E7)/(E4+E5+E8+E9)&gt;7),"Too Many","OK")</f>
        <v>OK</v>
      </c>
    </row>
    <row r="34" spans="1:3" x14ac:dyDescent="0.2">
      <c r="A34" s="22"/>
      <c r="B34" s="22"/>
      <c r="C34" s="22"/>
    </row>
    <row r="35" spans="1:3" x14ac:dyDescent="0.2">
      <c r="A35" s="22"/>
      <c r="B35" s="22"/>
      <c r="C35" s="22"/>
    </row>
    <row r="36" spans="1:3" x14ac:dyDescent="0.2">
      <c r="A36" s="22"/>
      <c r="B36" s="22"/>
      <c r="C36" s="22"/>
    </row>
    <row r="37" spans="1:3" x14ac:dyDescent="0.2">
      <c r="A37" s="22"/>
      <c r="B37" s="22"/>
      <c r="C37" s="22"/>
    </row>
  </sheetData>
  <mergeCells count="10">
    <mergeCell ref="A1:F1"/>
    <mergeCell ref="A26:E26"/>
    <mergeCell ref="A4:A9"/>
    <mergeCell ref="A10:A11"/>
    <mergeCell ref="A12:A13"/>
    <mergeCell ref="A24:A25"/>
    <mergeCell ref="A20:A21"/>
    <mergeCell ref="A22:A23"/>
    <mergeCell ref="A2:F2"/>
    <mergeCell ref="A14:A19"/>
  </mergeCells>
  <phoneticPr fontId="1" type="noConversion"/>
  <conditionalFormatting sqref="C32">
    <cfRule type="cellIs" dxfId="102" priority="5" stopIfTrue="1" operator="equal">
      <formula>#DIV/0!</formula>
    </cfRule>
    <cfRule type="cellIs" dxfId="101" priority="6" stopIfTrue="1" operator="equal">
      <formula>"OK"</formula>
    </cfRule>
    <cfRule type="cellIs" dxfId="100" priority="7" stopIfTrue="1" operator="equal">
      <formula>"Too Many"</formula>
    </cfRule>
  </conditionalFormatting>
  <conditionalFormatting sqref="C31">
    <cfRule type="cellIs" dxfId="99" priority="3" stopIfTrue="1" operator="equal">
      <formula>"OK"</formula>
    </cfRule>
    <cfRule type="cellIs" dxfId="98" priority="4" stopIfTrue="1" operator="equal">
      <formula>"More Power"</formula>
    </cfRule>
  </conditionalFormatting>
  <conditionalFormatting sqref="C33">
    <cfRule type="cellIs" dxfId="97" priority="1" operator="equal">
      <formula>"OK"</formula>
    </cfRule>
    <cfRule type="cellIs" dxfId="96" priority="2" operator="equal">
      <formula>"Too Many"</formula>
    </cfRule>
  </conditionalFormatting>
  <pageMargins left="0.7" right="0.7" top="0.75" bottom="0.75" header="0.3" footer="0.3"/>
  <pageSetup scale="71" fitToHeight="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MISC!$B$27:$B$27</xm:f>
          </x14:formula1>
          <xm:sqref>B17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F35"/>
  <sheetViews>
    <sheetView workbookViewId="0">
      <selection activeCell="E14" sqref="E14"/>
    </sheetView>
  </sheetViews>
  <sheetFormatPr baseColWidth="10" defaultColWidth="9.140625" defaultRowHeight="12.75" x14ac:dyDescent="0.2"/>
  <cols>
    <col min="1" max="1" width="9.140625" bestFit="1" customWidth="1"/>
    <col min="2" max="2" width="14.85546875" bestFit="1" customWidth="1"/>
    <col min="3" max="3" width="66" customWidth="1"/>
    <col min="4" max="4" width="9.140625" style="3" bestFit="1"/>
    <col min="5" max="5" width="8.5703125" bestFit="1" customWidth="1"/>
    <col min="6" max="6" width="21.42578125" style="3" customWidth="1"/>
    <col min="8" max="8" width="17.42578125" bestFit="1" customWidth="1"/>
    <col min="9" max="9" width="8" bestFit="1" customWidth="1"/>
  </cols>
  <sheetData>
    <row r="1" spans="1:6" ht="18" x14ac:dyDescent="0.25">
      <c r="A1" s="160" t="str">
        <f>'Building Total'!C26</f>
        <v>Piso 2</v>
      </c>
      <c r="B1" s="160"/>
      <c r="C1" s="160"/>
      <c r="D1" s="160"/>
      <c r="E1" s="160"/>
      <c r="F1" s="160"/>
    </row>
    <row r="2" spans="1:6" x14ac:dyDescent="0.2">
      <c r="A2" s="140" t="s">
        <v>9</v>
      </c>
      <c r="B2" s="141"/>
      <c r="C2" s="141"/>
      <c r="D2" s="141"/>
      <c r="E2" s="141"/>
      <c r="F2" s="142"/>
    </row>
    <row r="3" spans="1:6" ht="12.75" customHeight="1" x14ac:dyDescent="0.2">
      <c r="A3" s="104" t="s">
        <v>116</v>
      </c>
      <c r="B3" s="104" t="s">
        <v>117</v>
      </c>
      <c r="C3" s="104" t="s">
        <v>0</v>
      </c>
      <c r="D3" s="104" t="s">
        <v>118</v>
      </c>
      <c r="E3" s="104" t="s">
        <v>119</v>
      </c>
      <c r="F3" s="104" t="s">
        <v>3</v>
      </c>
    </row>
    <row r="4" spans="1:6" ht="12.75" customHeight="1" x14ac:dyDescent="0.2">
      <c r="A4" s="184" t="s">
        <v>37</v>
      </c>
      <c r="B4" s="103" t="s">
        <v>10</v>
      </c>
      <c r="C4" s="103" t="s">
        <v>30</v>
      </c>
      <c r="D4" s="2">
        <f>'1'!D4</f>
        <v>279</v>
      </c>
      <c r="E4" s="50"/>
      <c r="F4" s="2">
        <f t="shared" ref="F4:F25" si="0">E4*D4</f>
        <v>0</v>
      </c>
    </row>
    <row r="5" spans="1:6" x14ac:dyDescent="0.2">
      <c r="A5" s="185"/>
      <c r="B5" s="66" t="s">
        <v>179</v>
      </c>
      <c r="C5" s="103" t="s">
        <v>31</v>
      </c>
      <c r="D5" s="2">
        <f>'1'!D5</f>
        <v>279</v>
      </c>
      <c r="E5" s="50">
        <v>0</v>
      </c>
      <c r="F5" s="2">
        <f t="shared" si="0"/>
        <v>0</v>
      </c>
    </row>
    <row r="6" spans="1:6" x14ac:dyDescent="0.2">
      <c r="A6" s="185"/>
      <c r="B6" s="103" t="s">
        <v>32</v>
      </c>
      <c r="C6" s="103" t="s">
        <v>33</v>
      </c>
      <c r="D6" s="2">
        <f>'1'!D6</f>
        <v>279</v>
      </c>
      <c r="E6" s="50"/>
      <c r="F6" s="2">
        <f t="shared" si="0"/>
        <v>0</v>
      </c>
    </row>
    <row r="7" spans="1:6" x14ac:dyDescent="0.2">
      <c r="A7" s="185"/>
      <c r="B7" s="66" t="s">
        <v>180</v>
      </c>
      <c r="C7" s="103" t="s">
        <v>34</v>
      </c>
      <c r="D7" s="2">
        <f>'1'!D7</f>
        <v>279</v>
      </c>
      <c r="E7" s="50"/>
      <c r="F7" s="2">
        <f t="shared" si="0"/>
        <v>0</v>
      </c>
    </row>
    <row r="8" spans="1:6" x14ac:dyDescent="0.2">
      <c r="A8" s="185"/>
      <c r="B8" s="26" t="s">
        <v>28</v>
      </c>
      <c r="C8" s="25" t="s">
        <v>27</v>
      </c>
      <c r="D8" s="2">
        <f>'1'!D8</f>
        <v>427</v>
      </c>
      <c r="E8" s="50"/>
      <c r="F8" s="2">
        <f t="shared" si="0"/>
        <v>0</v>
      </c>
    </row>
    <row r="9" spans="1:6" ht="12.75" customHeight="1" x14ac:dyDescent="0.2">
      <c r="A9" s="186"/>
      <c r="B9" s="56" t="s">
        <v>181</v>
      </c>
      <c r="C9" s="25" t="s">
        <v>29</v>
      </c>
      <c r="D9" s="2">
        <f>'1'!D9</f>
        <v>482</v>
      </c>
      <c r="E9" s="50">
        <v>0</v>
      </c>
      <c r="F9" s="2">
        <f t="shared" si="0"/>
        <v>0</v>
      </c>
    </row>
    <row r="10" spans="1:6" ht="12.75" customHeight="1" x14ac:dyDescent="0.2">
      <c r="A10" s="164" t="s">
        <v>38</v>
      </c>
      <c r="B10" s="29" t="s">
        <v>12</v>
      </c>
      <c r="C10" s="29" t="s">
        <v>13</v>
      </c>
      <c r="D10" s="30">
        <f>'1'!D10</f>
        <v>149</v>
      </c>
      <c r="E10" s="51"/>
      <c r="F10" s="30">
        <f t="shared" si="0"/>
        <v>0</v>
      </c>
    </row>
    <row r="11" spans="1:6" ht="12.75" customHeight="1" x14ac:dyDescent="0.2">
      <c r="A11" s="166"/>
      <c r="B11" s="32" t="s">
        <v>35</v>
      </c>
      <c r="C11" s="33" t="s">
        <v>36</v>
      </c>
      <c r="D11" s="30">
        <f>'1'!D11</f>
        <v>149</v>
      </c>
      <c r="E11" s="51"/>
      <c r="F11" s="30">
        <f>E11*D11</f>
        <v>0</v>
      </c>
    </row>
    <row r="12" spans="1:6" ht="12.75" customHeight="1" x14ac:dyDescent="0.2">
      <c r="A12" s="184" t="s">
        <v>41</v>
      </c>
      <c r="B12" s="66" t="s">
        <v>205</v>
      </c>
      <c r="C12" s="66" t="s">
        <v>206</v>
      </c>
      <c r="D12" s="2">
        <f>'1'!D12</f>
        <v>215</v>
      </c>
      <c r="E12" s="50">
        <v>0</v>
      </c>
      <c r="F12" s="2">
        <f t="shared" si="0"/>
        <v>0</v>
      </c>
    </row>
    <row r="13" spans="1:6" x14ac:dyDescent="0.2">
      <c r="A13" s="185"/>
      <c r="B13" s="103" t="s">
        <v>25</v>
      </c>
      <c r="C13" s="103" t="s">
        <v>26</v>
      </c>
      <c r="D13" s="2">
        <f>'1'!D13</f>
        <v>185</v>
      </c>
      <c r="E13" s="50"/>
      <c r="F13" s="2">
        <f t="shared" si="0"/>
        <v>0</v>
      </c>
    </row>
    <row r="14" spans="1:6" ht="12.75" customHeight="1" x14ac:dyDescent="0.2">
      <c r="A14" s="164" t="s">
        <v>42</v>
      </c>
      <c r="B14" s="29" t="s">
        <v>17</v>
      </c>
      <c r="C14" s="29" t="s">
        <v>18</v>
      </c>
      <c r="D14" s="30">
        <f>'1'!D14</f>
        <v>30</v>
      </c>
      <c r="E14" s="52">
        <f>ROUNDUP((E4+E6+E8+E10+E11)/5,0)</f>
        <v>0</v>
      </c>
      <c r="F14" s="30">
        <f t="shared" si="0"/>
        <v>0</v>
      </c>
    </row>
    <row r="15" spans="1:6" x14ac:dyDescent="0.2">
      <c r="A15" s="165"/>
      <c r="B15" s="31" t="s">
        <v>22</v>
      </c>
      <c r="C15" s="31" t="s">
        <v>23</v>
      </c>
      <c r="D15" s="30">
        <f>'1'!D15</f>
        <v>60</v>
      </c>
      <c r="E15" s="51"/>
      <c r="F15" s="30">
        <f t="shared" si="0"/>
        <v>0</v>
      </c>
    </row>
    <row r="16" spans="1:6" x14ac:dyDescent="0.2">
      <c r="A16" s="165"/>
      <c r="B16" s="42" t="s">
        <v>207</v>
      </c>
      <c r="C16" s="42" t="s">
        <v>208</v>
      </c>
      <c r="D16" s="30">
        <f>'1'!D16</f>
        <v>30</v>
      </c>
      <c r="E16" s="51"/>
      <c r="F16" s="30">
        <f t="shared" si="0"/>
        <v>0</v>
      </c>
    </row>
    <row r="17" spans="1:6" ht="12.75" customHeight="1" x14ac:dyDescent="0.2">
      <c r="A17" s="165"/>
      <c r="B17" s="51" t="s">
        <v>102</v>
      </c>
      <c r="C17" s="29" t="str">
        <f>IF(B17=MISC!B27,MISC!C27,IF(B17=MISC!B25,MISC!C25,IF(B17=MISC!#REF!,MISC!#REF!)))</f>
        <v>Reader Certified Cable w/ 2 RJ12 (6 pin) connectors 30 feet Plenum</v>
      </c>
      <c r="D17" s="30">
        <f>IF(B17=MISC!B25,MISC!D25,IF(B17=MISC!B27,MISC!D27,IF(B17=MISC!#REF!,MISC!#REF!)))</f>
        <v>25</v>
      </c>
      <c r="E17" s="52">
        <f>(SUM(E4:E10))+SUM(E12:E13)+SUM(E20:E22)</f>
        <v>0</v>
      </c>
      <c r="F17" s="30">
        <f t="shared" si="0"/>
        <v>0</v>
      </c>
    </row>
    <row r="18" spans="1:6" ht="12.75" customHeight="1" x14ac:dyDescent="0.2">
      <c r="A18" s="165"/>
      <c r="B18" s="65" t="s">
        <v>182</v>
      </c>
      <c r="C18" s="31" t="s">
        <v>24</v>
      </c>
      <c r="D18" s="30">
        <f>'1'!D18</f>
        <v>24</v>
      </c>
      <c r="E18" s="52">
        <f>E17</f>
        <v>0</v>
      </c>
      <c r="F18" s="30">
        <f t="shared" si="0"/>
        <v>0</v>
      </c>
    </row>
    <row r="19" spans="1:6" ht="12.75" customHeight="1" x14ac:dyDescent="0.2">
      <c r="A19" s="166"/>
      <c r="B19" s="74" t="s">
        <v>114</v>
      </c>
      <c r="C19" s="42" t="s">
        <v>115</v>
      </c>
      <c r="D19" s="30">
        <f>'1'!D19</f>
        <v>44</v>
      </c>
      <c r="E19" s="51"/>
      <c r="F19" s="30">
        <f t="shared" si="0"/>
        <v>0</v>
      </c>
    </row>
    <row r="20" spans="1:6" ht="12.75" customHeight="1" x14ac:dyDescent="0.2">
      <c r="A20" s="187" t="s">
        <v>44</v>
      </c>
      <c r="B20" s="81" t="s">
        <v>183</v>
      </c>
      <c r="C20" s="34" t="s">
        <v>46</v>
      </c>
      <c r="D20" s="64">
        <f>'1'!D20</f>
        <v>179</v>
      </c>
      <c r="E20" s="53"/>
      <c r="F20" s="28">
        <f t="shared" si="0"/>
        <v>0</v>
      </c>
    </row>
    <row r="21" spans="1:6" ht="12.75" customHeight="1" x14ac:dyDescent="0.2">
      <c r="A21" s="188"/>
      <c r="B21" s="81" t="s">
        <v>184</v>
      </c>
      <c r="C21" s="34" t="s">
        <v>47</v>
      </c>
      <c r="D21" s="64">
        <f>'1'!D21</f>
        <v>179</v>
      </c>
      <c r="E21" s="53"/>
      <c r="F21" s="28">
        <f t="shared" si="0"/>
        <v>0</v>
      </c>
    </row>
    <row r="22" spans="1:6" ht="12.75" customHeight="1" x14ac:dyDescent="0.2">
      <c r="A22" s="189" t="s">
        <v>45</v>
      </c>
      <c r="B22" s="29" t="s">
        <v>48</v>
      </c>
      <c r="C22" s="31" t="s">
        <v>49</v>
      </c>
      <c r="D22" s="30">
        <f>'1'!D22</f>
        <v>189</v>
      </c>
      <c r="E22" s="51"/>
      <c r="F22" s="30">
        <f t="shared" si="0"/>
        <v>0</v>
      </c>
    </row>
    <row r="23" spans="1:6" ht="12.75" customHeight="1" x14ac:dyDescent="0.2">
      <c r="A23" s="190"/>
      <c r="B23" s="29" t="s">
        <v>50</v>
      </c>
      <c r="C23" s="31" t="s">
        <v>51</v>
      </c>
      <c r="D23" s="30">
        <f>'1'!D23</f>
        <v>189</v>
      </c>
      <c r="E23" s="51"/>
      <c r="F23" s="30">
        <f t="shared" si="0"/>
        <v>0</v>
      </c>
    </row>
    <row r="24" spans="1:6" x14ac:dyDescent="0.2">
      <c r="A24" s="185" t="s">
        <v>43</v>
      </c>
      <c r="B24" s="24" t="s">
        <v>39</v>
      </c>
      <c r="C24" s="24" t="s">
        <v>40</v>
      </c>
      <c r="D24" s="64">
        <f>'1'!D24</f>
        <v>299</v>
      </c>
      <c r="E24" s="50"/>
      <c r="F24" s="2">
        <f t="shared" si="0"/>
        <v>0</v>
      </c>
    </row>
    <row r="25" spans="1:6" ht="12.75" customHeight="1" x14ac:dyDescent="0.2">
      <c r="A25" s="186"/>
      <c r="B25" s="105" t="s">
        <v>108</v>
      </c>
      <c r="C25" s="105" t="s">
        <v>109</v>
      </c>
      <c r="D25" s="64">
        <f>'1'!D25</f>
        <v>299</v>
      </c>
      <c r="E25" s="50"/>
      <c r="F25" s="2">
        <f t="shared" si="0"/>
        <v>0</v>
      </c>
    </row>
    <row r="26" spans="1:6" ht="15.75" x14ac:dyDescent="0.25">
      <c r="A26" s="151" t="s">
        <v>16</v>
      </c>
      <c r="B26" s="152"/>
      <c r="C26" s="152"/>
      <c r="D26" s="152"/>
      <c r="E26" s="153"/>
      <c r="F26" s="4">
        <f>SUM(F2:F25)</f>
        <v>0</v>
      </c>
    </row>
    <row r="29" spans="1:6" x14ac:dyDescent="0.2">
      <c r="B29" s="36" t="s">
        <v>52</v>
      </c>
      <c r="C29" s="37">
        <f>SUM(E4:E13)</f>
        <v>0</v>
      </c>
    </row>
    <row r="30" spans="1:6" x14ac:dyDescent="0.2">
      <c r="B30" s="36" t="s">
        <v>53</v>
      </c>
      <c r="C30" s="37">
        <f>(0.1*SUM(E4:E9))+(0.03*E10)+(0.075*E11)+(0.25*E12)+(0.075*SUM(E13:E13))+(0.06*E22)+(0.1*E23)+(0.125*E20)+(0.15*E21)</f>
        <v>0</v>
      </c>
    </row>
    <row r="31" spans="1:6" x14ac:dyDescent="0.2">
      <c r="B31" s="36" t="s">
        <v>54</v>
      </c>
      <c r="C31" s="35" t="str">
        <f>IF(OR(C30&lt;=((E24*10)+(E25*6)-1),C30=0),"OK","More Power")</f>
        <v>OK</v>
      </c>
    </row>
    <row r="32" spans="1:6" x14ac:dyDescent="0.2">
      <c r="B32" s="38" t="s">
        <v>55</v>
      </c>
      <c r="C32" s="40" t="str">
        <f>IF(IF(AND((E4+E5+E8+E9)=0,(E6+E7+E10+E12+E13+E20+E22)=0),0,(E6+E7+E10+E12+E13+E20+E22)/(E4+E5+E8+E9)&gt;15),"Too Many","OK")</f>
        <v>OK</v>
      </c>
    </row>
    <row r="33" spans="1:3" x14ac:dyDescent="0.2">
      <c r="A33" s="22"/>
      <c r="B33" s="71" t="s">
        <v>135</v>
      </c>
      <c r="C33" s="72" t="str">
        <f>IF(IF(AND(E6=0,E7=0),0,(E6+E7)/(E4+E5+E8+E9)&gt;7),"Too Many","OK")</f>
        <v>OK</v>
      </c>
    </row>
    <row r="34" spans="1:3" x14ac:dyDescent="0.2">
      <c r="A34" s="22"/>
      <c r="B34" s="22"/>
      <c r="C34" s="22"/>
    </row>
    <row r="35" spans="1:3" x14ac:dyDescent="0.2">
      <c r="A35" s="22"/>
      <c r="B35" s="22"/>
      <c r="C35" s="22"/>
    </row>
  </sheetData>
  <sheetProtection password="C4C4" sheet="1" objects="1" scenarios="1"/>
  <mergeCells count="10">
    <mergeCell ref="A26:E26"/>
    <mergeCell ref="A2:F2"/>
    <mergeCell ref="A1:F1"/>
    <mergeCell ref="A4:A9"/>
    <mergeCell ref="A10:A11"/>
    <mergeCell ref="A12:A13"/>
    <mergeCell ref="A14:A19"/>
    <mergeCell ref="A20:A21"/>
    <mergeCell ref="A22:A23"/>
    <mergeCell ref="A24:A25"/>
  </mergeCells>
  <phoneticPr fontId="1" type="noConversion"/>
  <conditionalFormatting sqref="C33">
    <cfRule type="cellIs" dxfId="95" priority="1" operator="equal">
      <formula>"OK"</formula>
    </cfRule>
    <cfRule type="cellIs" dxfId="94" priority="2" operator="equal">
      <formula>"Too Many"</formula>
    </cfRule>
  </conditionalFormatting>
  <conditionalFormatting sqref="C32">
    <cfRule type="cellIs" dxfId="93" priority="5" stopIfTrue="1" operator="equal">
      <formula>#DIV/0!</formula>
    </cfRule>
    <cfRule type="cellIs" dxfId="92" priority="6" stopIfTrue="1" operator="equal">
      <formula>"OK"</formula>
    </cfRule>
    <cfRule type="cellIs" dxfId="91" priority="7" stopIfTrue="1" operator="equal">
      <formula>"Too Many"</formula>
    </cfRule>
  </conditionalFormatting>
  <conditionalFormatting sqref="C31">
    <cfRule type="cellIs" dxfId="90" priority="3" stopIfTrue="1" operator="equal">
      <formula>"OK"</formula>
    </cfRule>
    <cfRule type="cellIs" dxfId="89" priority="4" stopIfTrue="1" operator="equal">
      <formula>"More Power"</formula>
    </cfRule>
  </conditionalFormatting>
  <pageMargins left="0.7" right="0.7" top="0.75" bottom="0.75" header="0.3" footer="0.3"/>
  <pageSetup scale="71" fitToHeight="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MISC!$B$27:$B$27</xm:f>
          </x14:formula1>
          <xm:sqref>B17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F35"/>
  <sheetViews>
    <sheetView workbookViewId="0">
      <selection sqref="A1:F1"/>
    </sheetView>
  </sheetViews>
  <sheetFormatPr baseColWidth="10" defaultColWidth="9.140625" defaultRowHeight="12.75" x14ac:dyDescent="0.2"/>
  <cols>
    <col min="1" max="1" width="9.140625" bestFit="1" customWidth="1"/>
    <col min="2" max="2" width="14.85546875" bestFit="1" customWidth="1"/>
    <col min="3" max="3" width="66" customWidth="1"/>
    <col min="4" max="4" width="9.140625" style="3" bestFit="1"/>
    <col min="5" max="5" width="8.5703125" bestFit="1" customWidth="1"/>
    <col min="6" max="6" width="21.42578125" style="3" customWidth="1"/>
    <col min="8" max="8" width="17.42578125" bestFit="1" customWidth="1"/>
    <col min="9" max="9" width="8" bestFit="1" customWidth="1"/>
  </cols>
  <sheetData>
    <row r="1" spans="1:6" ht="18" x14ac:dyDescent="0.25">
      <c r="A1" s="160" t="str">
        <f>'Building Total'!C27</f>
        <v>Level 3</v>
      </c>
      <c r="B1" s="160"/>
      <c r="C1" s="160"/>
      <c r="D1" s="160"/>
      <c r="E1" s="160"/>
      <c r="F1" s="160"/>
    </row>
    <row r="2" spans="1:6" x14ac:dyDescent="0.2">
      <c r="A2" s="140" t="s">
        <v>9</v>
      </c>
      <c r="B2" s="141"/>
      <c r="C2" s="141"/>
      <c r="D2" s="141"/>
      <c r="E2" s="141"/>
      <c r="F2" s="142"/>
    </row>
    <row r="3" spans="1:6" ht="12.75" customHeight="1" x14ac:dyDescent="0.2">
      <c r="A3" s="104" t="s">
        <v>116</v>
      </c>
      <c r="B3" s="104" t="s">
        <v>117</v>
      </c>
      <c r="C3" s="104" t="s">
        <v>0</v>
      </c>
      <c r="D3" s="104" t="s">
        <v>118</v>
      </c>
      <c r="E3" s="104" t="s">
        <v>119</v>
      </c>
      <c r="F3" s="104" t="s">
        <v>3</v>
      </c>
    </row>
    <row r="4" spans="1:6" ht="12.75" customHeight="1" x14ac:dyDescent="0.2">
      <c r="A4" s="184" t="s">
        <v>37</v>
      </c>
      <c r="B4" s="103" t="s">
        <v>10</v>
      </c>
      <c r="C4" s="103" t="s">
        <v>30</v>
      </c>
      <c r="D4" s="2">
        <f>'1'!D4</f>
        <v>279</v>
      </c>
      <c r="E4" s="50"/>
      <c r="F4" s="2">
        <f t="shared" ref="F4:F25" si="0">E4*D4</f>
        <v>0</v>
      </c>
    </row>
    <row r="5" spans="1:6" x14ac:dyDescent="0.2">
      <c r="A5" s="185"/>
      <c r="B5" s="66" t="s">
        <v>179</v>
      </c>
      <c r="C5" s="103" t="s">
        <v>31</v>
      </c>
      <c r="D5" s="2">
        <f>'1'!D5</f>
        <v>279</v>
      </c>
      <c r="E5" s="50"/>
      <c r="F5" s="2">
        <f t="shared" si="0"/>
        <v>0</v>
      </c>
    </row>
    <row r="6" spans="1:6" x14ac:dyDescent="0.2">
      <c r="A6" s="185"/>
      <c r="B6" s="103" t="s">
        <v>32</v>
      </c>
      <c r="C6" s="103" t="s">
        <v>33</v>
      </c>
      <c r="D6" s="2">
        <f>'1'!D6</f>
        <v>279</v>
      </c>
      <c r="E6" s="50"/>
      <c r="F6" s="2">
        <f t="shared" si="0"/>
        <v>0</v>
      </c>
    </row>
    <row r="7" spans="1:6" x14ac:dyDescent="0.2">
      <c r="A7" s="185"/>
      <c r="B7" s="66" t="s">
        <v>180</v>
      </c>
      <c r="C7" s="103" t="s">
        <v>34</v>
      </c>
      <c r="D7" s="2">
        <f>'1'!D7</f>
        <v>279</v>
      </c>
      <c r="E7" s="50"/>
      <c r="F7" s="2">
        <f t="shared" si="0"/>
        <v>0</v>
      </c>
    </row>
    <row r="8" spans="1:6" x14ac:dyDescent="0.2">
      <c r="A8" s="185"/>
      <c r="B8" s="26" t="s">
        <v>28</v>
      </c>
      <c r="C8" s="25" t="s">
        <v>27</v>
      </c>
      <c r="D8" s="2">
        <f>'1'!D8</f>
        <v>427</v>
      </c>
      <c r="E8" s="50"/>
      <c r="F8" s="2">
        <f t="shared" si="0"/>
        <v>0</v>
      </c>
    </row>
    <row r="9" spans="1:6" ht="12.75" customHeight="1" x14ac:dyDescent="0.2">
      <c r="A9" s="186"/>
      <c r="B9" s="56" t="s">
        <v>181</v>
      </c>
      <c r="C9" s="25" t="s">
        <v>29</v>
      </c>
      <c r="D9" s="2">
        <f>'1'!D9</f>
        <v>482</v>
      </c>
      <c r="E9" s="50"/>
      <c r="F9" s="2">
        <f t="shared" si="0"/>
        <v>0</v>
      </c>
    </row>
    <row r="10" spans="1:6" ht="12.75" customHeight="1" x14ac:dyDescent="0.2">
      <c r="A10" s="164" t="s">
        <v>38</v>
      </c>
      <c r="B10" s="29" t="s">
        <v>12</v>
      </c>
      <c r="C10" s="29" t="s">
        <v>13</v>
      </c>
      <c r="D10" s="30">
        <f>'1'!D10</f>
        <v>149</v>
      </c>
      <c r="E10" s="51"/>
      <c r="F10" s="30">
        <f t="shared" si="0"/>
        <v>0</v>
      </c>
    </row>
    <row r="11" spans="1:6" ht="12.75" customHeight="1" x14ac:dyDescent="0.2">
      <c r="A11" s="166"/>
      <c r="B11" s="32" t="s">
        <v>35</v>
      </c>
      <c r="C11" s="33" t="s">
        <v>36</v>
      </c>
      <c r="D11" s="30">
        <f>'1'!D11</f>
        <v>149</v>
      </c>
      <c r="E11" s="51"/>
      <c r="F11" s="30">
        <f>E11*D11</f>
        <v>0</v>
      </c>
    </row>
    <row r="12" spans="1:6" ht="12.75" customHeight="1" x14ac:dyDescent="0.2">
      <c r="A12" s="184" t="s">
        <v>41</v>
      </c>
      <c r="B12" s="66" t="s">
        <v>205</v>
      </c>
      <c r="C12" s="66" t="s">
        <v>206</v>
      </c>
      <c r="D12" s="2">
        <f>'1'!D12</f>
        <v>215</v>
      </c>
      <c r="E12" s="50"/>
      <c r="F12" s="2">
        <f t="shared" si="0"/>
        <v>0</v>
      </c>
    </row>
    <row r="13" spans="1:6" x14ac:dyDescent="0.2">
      <c r="A13" s="185"/>
      <c r="B13" s="103" t="s">
        <v>25</v>
      </c>
      <c r="C13" s="103" t="s">
        <v>26</v>
      </c>
      <c r="D13" s="2">
        <f>'1'!D13</f>
        <v>185</v>
      </c>
      <c r="E13" s="50"/>
      <c r="F13" s="2">
        <f t="shared" si="0"/>
        <v>0</v>
      </c>
    </row>
    <row r="14" spans="1:6" ht="12.75" customHeight="1" x14ac:dyDescent="0.2">
      <c r="A14" s="164" t="s">
        <v>42</v>
      </c>
      <c r="B14" s="29" t="s">
        <v>17</v>
      </c>
      <c r="C14" s="29" t="s">
        <v>18</v>
      </c>
      <c r="D14" s="30">
        <f>'1'!D14</f>
        <v>30</v>
      </c>
      <c r="E14" s="52">
        <f>ROUNDUP((E4+E6+E8+E10+E11)/5,0)</f>
        <v>0</v>
      </c>
      <c r="F14" s="30">
        <f t="shared" si="0"/>
        <v>0</v>
      </c>
    </row>
    <row r="15" spans="1:6" x14ac:dyDescent="0.2">
      <c r="A15" s="165"/>
      <c r="B15" s="31" t="s">
        <v>22</v>
      </c>
      <c r="C15" s="31" t="s">
        <v>23</v>
      </c>
      <c r="D15" s="30">
        <f>'1'!D15</f>
        <v>60</v>
      </c>
      <c r="E15" s="51"/>
      <c r="F15" s="30">
        <f t="shared" si="0"/>
        <v>0</v>
      </c>
    </row>
    <row r="16" spans="1:6" x14ac:dyDescent="0.2">
      <c r="A16" s="165"/>
      <c r="B16" s="42" t="s">
        <v>207</v>
      </c>
      <c r="C16" s="42" t="s">
        <v>208</v>
      </c>
      <c r="D16" s="30">
        <f>'1'!D16</f>
        <v>30</v>
      </c>
      <c r="E16" s="51"/>
      <c r="F16" s="30">
        <f t="shared" si="0"/>
        <v>0</v>
      </c>
    </row>
    <row r="17" spans="1:6" ht="12.75" customHeight="1" x14ac:dyDescent="0.2">
      <c r="A17" s="165"/>
      <c r="B17" s="51" t="s">
        <v>102</v>
      </c>
      <c r="C17" s="29" t="str">
        <f>IF(B17=MISC!B27,MISC!C27,IF(B17=MISC!B25,MISC!C25,IF(B17=MISC!#REF!,MISC!#REF!)))</f>
        <v>Reader Certified Cable w/ 2 RJ12 (6 pin) connectors 30 feet Plenum</v>
      </c>
      <c r="D17" s="30">
        <f>IF(B17=MISC!B25,MISC!D25,IF(B17=MISC!B27,MISC!D27,IF(B17=MISC!#REF!,MISC!#REF!)))</f>
        <v>25</v>
      </c>
      <c r="E17" s="52">
        <f>(SUM(E4:E10))+SUM(E12:E13)+SUM(E20:E22)</f>
        <v>0</v>
      </c>
      <c r="F17" s="30">
        <f t="shared" si="0"/>
        <v>0</v>
      </c>
    </row>
    <row r="18" spans="1:6" ht="12.75" customHeight="1" x14ac:dyDescent="0.2">
      <c r="A18" s="165"/>
      <c r="B18" s="65" t="s">
        <v>182</v>
      </c>
      <c r="C18" s="31" t="s">
        <v>24</v>
      </c>
      <c r="D18" s="30">
        <f>'1'!D18</f>
        <v>24</v>
      </c>
      <c r="E18" s="52">
        <f>E17</f>
        <v>0</v>
      </c>
      <c r="F18" s="30">
        <f t="shared" si="0"/>
        <v>0</v>
      </c>
    </row>
    <row r="19" spans="1:6" ht="12.75" customHeight="1" x14ac:dyDescent="0.2">
      <c r="A19" s="166"/>
      <c r="B19" s="74" t="s">
        <v>114</v>
      </c>
      <c r="C19" s="42" t="s">
        <v>115</v>
      </c>
      <c r="D19" s="30">
        <f>'1'!D19</f>
        <v>44</v>
      </c>
      <c r="E19" s="51"/>
      <c r="F19" s="30">
        <f t="shared" si="0"/>
        <v>0</v>
      </c>
    </row>
    <row r="20" spans="1:6" ht="12.75" customHeight="1" x14ac:dyDescent="0.2">
      <c r="A20" s="187" t="s">
        <v>44</v>
      </c>
      <c r="B20" s="81" t="s">
        <v>183</v>
      </c>
      <c r="C20" s="34" t="s">
        <v>46</v>
      </c>
      <c r="D20" s="64">
        <f>'1'!D20</f>
        <v>179</v>
      </c>
      <c r="E20" s="53"/>
      <c r="F20" s="28">
        <f t="shared" si="0"/>
        <v>0</v>
      </c>
    </row>
    <row r="21" spans="1:6" ht="12.75" customHeight="1" x14ac:dyDescent="0.2">
      <c r="A21" s="188"/>
      <c r="B21" s="81" t="s">
        <v>184</v>
      </c>
      <c r="C21" s="34" t="s">
        <v>47</v>
      </c>
      <c r="D21" s="64">
        <f>'1'!D21</f>
        <v>179</v>
      </c>
      <c r="E21" s="53"/>
      <c r="F21" s="28">
        <f t="shared" si="0"/>
        <v>0</v>
      </c>
    </row>
    <row r="22" spans="1:6" ht="12.75" customHeight="1" x14ac:dyDescent="0.2">
      <c r="A22" s="189" t="s">
        <v>45</v>
      </c>
      <c r="B22" s="29" t="s">
        <v>48</v>
      </c>
      <c r="C22" s="31" t="s">
        <v>49</v>
      </c>
      <c r="D22" s="30">
        <f>'1'!D22</f>
        <v>189</v>
      </c>
      <c r="E22" s="51"/>
      <c r="F22" s="30">
        <f t="shared" si="0"/>
        <v>0</v>
      </c>
    </row>
    <row r="23" spans="1:6" ht="12.75" customHeight="1" x14ac:dyDescent="0.2">
      <c r="A23" s="190"/>
      <c r="B23" s="29" t="s">
        <v>50</v>
      </c>
      <c r="C23" s="31" t="s">
        <v>51</v>
      </c>
      <c r="D23" s="30">
        <f>'1'!D23</f>
        <v>189</v>
      </c>
      <c r="E23" s="51"/>
      <c r="F23" s="30">
        <f t="shared" si="0"/>
        <v>0</v>
      </c>
    </row>
    <row r="24" spans="1:6" x14ac:dyDescent="0.2">
      <c r="A24" s="185" t="s">
        <v>43</v>
      </c>
      <c r="B24" s="24" t="s">
        <v>39</v>
      </c>
      <c r="C24" s="24" t="s">
        <v>40</v>
      </c>
      <c r="D24" s="64">
        <f>'1'!D24</f>
        <v>299</v>
      </c>
      <c r="E24" s="50"/>
      <c r="F24" s="2">
        <f t="shared" si="0"/>
        <v>0</v>
      </c>
    </row>
    <row r="25" spans="1:6" x14ac:dyDescent="0.2">
      <c r="A25" s="186"/>
      <c r="B25" s="105" t="s">
        <v>108</v>
      </c>
      <c r="C25" s="105" t="s">
        <v>109</v>
      </c>
      <c r="D25" s="64">
        <f>'1'!D25</f>
        <v>299</v>
      </c>
      <c r="E25" s="50"/>
      <c r="F25" s="2">
        <f t="shared" si="0"/>
        <v>0</v>
      </c>
    </row>
    <row r="26" spans="1:6" ht="15.75" x14ac:dyDescent="0.25">
      <c r="A26" s="151" t="s">
        <v>16</v>
      </c>
      <c r="B26" s="152"/>
      <c r="C26" s="152"/>
      <c r="D26" s="152"/>
      <c r="E26" s="153"/>
      <c r="F26" s="4">
        <f>SUM(F2:F25)</f>
        <v>0</v>
      </c>
    </row>
    <row r="29" spans="1:6" x14ac:dyDescent="0.2">
      <c r="B29" s="36" t="s">
        <v>52</v>
      </c>
      <c r="C29" s="37">
        <f>SUM(E4:E13)</f>
        <v>0</v>
      </c>
    </row>
    <row r="30" spans="1:6" x14ac:dyDescent="0.2">
      <c r="B30" s="36" t="s">
        <v>53</v>
      </c>
      <c r="C30" s="37">
        <f>(0.1*SUM(E4:E9))+(0.03*E10)+(0.075*E11)+(0.25*E12)+(0.075*SUM(E13:E13))+(0.06*E22)+(0.1*E23)+(0.125*E20)+(0.15*E21)</f>
        <v>0</v>
      </c>
    </row>
    <row r="31" spans="1:6" x14ac:dyDescent="0.2">
      <c r="B31" s="36" t="s">
        <v>54</v>
      </c>
      <c r="C31" s="35" t="str">
        <f>IF(OR(C30&lt;=((E24*10)+(E25*6)-1),C30=0),"OK","More Power")</f>
        <v>OK</v>
      </c>
    </row>
    <row r="32" spans="1:6" x14ac:dyDescent="0.2">
      <c r="B32" s="38" t="s">
        <v>55</v>
      </c>
      <c r="C32" s="40" t="str">
        <f>IF(IF(AND((E4+E5+E8+E9)=0,(E6+E7+E10+E12+E13+E20+E22)=0),0,(E6+E7+E10+E12+E13+E20+E22)/(E4+E5+E8+E9)&gt;15),"Too Many","OK")</f>
        <v>OK</v>
      </c>
    </row>
    <row r="33" spans="1:3" x14ac:dyDescent="0.2">
      <c r="A33" s="22"/>
      <c r="B33" s="71" t="s">
        <v>135</v>
      </c>
      <c r="C33" s="72" t="str">
        <f>IF(IF(AND(E6=0,E7=0),0,(E6+E7)/(E4+E5+E8+E9)&gt;7),"Too Many","OK")</f>
        <v>OK</v>
      </c>
    </row>
    <row r="34" spans="1:3" x14ac:dyDescent="0.2">
      <c r="A34" s="22"/>
      <c r="B34" s="22"/>
      <c r="C34" s="22"/>
    </row>
    <row r="35" spans="1:3" x14ac:dyDescent="0.2">
      <c r="A35" s="22"/>
      <c r="B35" s="22"/>
      <c r="C35" s="22"/>
    </row>
  </sheetData>
  <sheetProtection password="C4C4" sheet="1" objects="1" scenarios="1"/>
  <mergeCells count="10">
    <mergeCell ref="A26:E26"/>
    <mergeCell ref="A1:F1"/>
    <mergeCell ref="A4:A9"/>
    <mergeCell ref="A10:A11"/>
    <mergeCell ref="A12:A13"/>
    <mergeCell ref="A2:F2"/>
    <mergeCell ref="A14:A19"/>
    <mergeCell ref="A20:A21"/>
    <mergeCell ref="A22:A23"/>
    <mergeCell ref="A24:A25"/>
  </mergeCells>
  <phoneticPr fontId="1" type="noConversion"/>
  <conditionalFormatting sqref="C33">
    <cfRule type="cellIs" dxfId="88" priority="1" operator="equal">
      <formula>"OK"</formula>
    </cfRule>
    <cfRule type="cellIs" dxfId="87" priority="2" operator="equal">
      <formula>"Too Many"</formula>
    </cfRule>
  </conditionalFormatting>
  <conditionalFormatting sqref="C32">
    <cfRule type="cellIs" dxfId="86" priority="5" stopIfTrue="1" operator="equal">
      <formula>#DIV/0!</formula>
    </cfRule>
    <cfRule type="cellIs" dxfId="85" priority="6" stopIfTrue="1" operator="equal">
      <formula>"OK"</formula>
    </cfRule>
    <cfRule type="cellIs" dxfId="84" priority="7" stopIfTrue="1" operator="equal">
      <formula>"Too Many"</formula>
    </cfRule>
  </conditionalFormatting>
  <conditionalFormatting sqref="C31">
    <cfRule type="cellIs" dxfId="83" priority="3" stopIfTrue="1" operator="equal">
      <formula>"OK"</formula>
    </cfRule>
    <cfRule type="cellIs" dxfId="82" priority="4" stopIfTrue="1" operator="equal">
      <formula>"More Power"</formula>
    </cfRule>
  </conditionalFormatting>
  <pageMargins left="0.7" right="0.7" top="0.75" bottom="0.75" header="0.3" footer="0.3"/>
  <pageSetup scale="71" fitToHeight="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MISC!$B$27:$B$27</xm:f>
          </x14:formula1>
          <xm:sqref>B17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F35"/>
  <sheetViews>
    <sheetView workbookViewId="0">
      <selection sqref="A1:F1"/>
    </sheetView>
  </sheetViews>
  <sheetFormatPr baseColWidth="10" defaultColWidth="9.140625" defaultRowHeight="12.75" x14ac:dyDescent="0.2"/>
  <cols>
    <col min="1" max="1" width="9.140625" bestFit="1" customWidth="1"/>
    <col min="2" max="2" width="14.85546875" bestFit="1" customWidth="1"/>
    <col min="3" max="3" width="66" customWidth="1"/>
    <col min="4" max="4" width="9.140625" style="3" bestFit="1"/>
    <col min="5" max="5" width="8.5703125" bestFit="1" customWidth="1"/>
    <col min="6" max="6" width="21.42578125" style="3" customWidth="1"/>
    <col min="8" max="8" width="17.42578125" bestFit="1" customWidth="1"/>
    <col min="9" max="9" width="8" bestFit="1" customWidth="1"/>
  </cols>
  <sheetData>
    <row r="1" spans="1:6" ht="18" x14ac:dyDescent="0.25">
      <c r="A1" s="160" t="str">
        <f>'Building Total'!C28</f>
        <v>Level 4</v>
      </c>
      <c r="B1" s="160"/>
      <c r="C1" s="160"/>
      <c r="D1" s="160"/>
      <c r="E1" s="160"/>
      <c r="F1" s="160"/>
    </row>
    <row r="2" spans="1:6" x14ac:dyDescent="0.2">
      <c r="A2" s="140" t="s">
        <v>9</v>
      </c>
      <c r="B2" s="141"/>
      <c r="C2" s="141"/>
      <c r="D2" s="141"/>
      <c r="E2" s="141"/>
      <c r="F2" s="142"/>
    </row>
    <row r="3" spans="1:6" ht="12.75" customHeight="1" x14ac:dyDescent="0.2">
      <c r="A3" s="104" t="s">
        <v>116</v>
      </c>
      <c r="B3" s="104" t="s">
        <v>117</v>
      </c>
      <c r="C3" s="104" t="s">
        <v>0</v>
      </c>
      <c r="D3" s="104" t="s">
        <v>118</v>
      </c>
      <c r="E3" s="104" t="s">
        <v>119</v>
      </c>
      <c r="F3" s="104" t="s">
        <v>3</v>
      </c>
    </row>
    <row r="4" spans="1:6" ht="12.75" customHeight="1" x14ac:dyDescent="0.2">
      <c r="A4" s="184" t="s">
        <v>37</v>
      </c>
      <c r="B4" s="103" t="s">
        <v>10</v>
      </c>
      <c r="C4" s="103" t="s">
        <v>30</v>
      </c>
      <c r="D4" s="2">
        <f>'1'!D4</f>
        <v>279</v>
      </c>
      <c r="E4" s="50"/>
      <c r="F4" s="2">
        <f t="shared" ref="F4:F25" si="0">E4*D4</f>
        <v>0</v>
      </c>
    </row>
    <row r="5" spans="1:6" x14ac:dyDescent="0.2">
      <c r="A5" s="185"/>
      <c r="B5" s="66" t="s">
        <v>179</v>
      </c>
      <c r="C5" s="103" t="s">
        <v>31</v>
      </c>
      <c r="D5" s="2">
        <f>'1'!D5</f>
        <v>279</v>
      </c>
      <c r="E5" s="50"/>
      <c r="F5" s="2">
        <f t="shared" si="0"/>
        <v>0</v>
      </c>
    </row>
    <row r="6" spans="1:6" x14ac:dyDescent="0.2">
      <c r="A6" s="185"/>
      <c r="B6" s="103" t="s">
        <v>32</v>
      </c>
      <c r="C6" s="103" t="s">
        <v>33</v>
      </c>
      <c r="D6" s="2">
        <f>'1'!D6</f>
        <v>279</v>
      </c>
      <c r="E6" s="50"/>
      <c r="F6" s="2">
        <f t="shared" si="0"/>
        <v>0</v>
      </c>
    </row>
    <row r="7" spans="1:6" x14ac:dyDescent="0.2">
      <c r="A7" s="185"/>
      <c r="B7" s="66" t="s">
        <v>180</v>
      </c>
      <c r="C7" s="103" t="s">
        <v>34</v>
      </c>
      <c r="D7" s="2">
        <f>'1'!D7</f>
        <v>279</v>
      </c>
      <c r="E7" s="50"/>
      <c r="F7" s="2">
        <f t="shared" si="0"/>
        <v>0</v>
      </c>
    </row>
    <row r="8" spans="1:6" x14ac:dyDescent="0.2">
      <c r="A8" s="185"/>
      <c r="B8" s="26" t="s">
        <v>28</v>
      </c>
      <c r="C8" s="25" t="s">
        <v>27</v>
      </c>
      <c r="D8" s="2">
        <f>'1'!D8</f>
        <v>427</v>
      </c>
      <c r="E8" s="50"/>
      <c r="F8" s="2">
        <f t="shared" si="0"/>
        <v>0</v>
      </c>
    </row>
    <row r="9" spans="1:6" ht="12.75" customHeight="1" x14ac:dyDescent="0.2">
      <c r="A9" s="186"/>
      <c r="B9" s="56" t="s">
        <v>181</v>
      </c>
      <c r="C9" s="25" t="s">
        <v>29</v>
      </c>
      <c r="D9" s="2">
        <f>'1'!D9</f>
        <v>482</v>
      </c>
      <c r="E9" s="50"/>
      <c r="F9" s="2">
        <f t="shared" si="0"/>
        <v>0</v>
      </c>
    </row>
    <row r="10" spans="1:6" ht="12.75" customHeight="1" x14ac:dyDescent="0.2">
      <c r="A10" s="164" t="s">
        <v>38</v>
      </c>
      <c r="B10" s="29" t="s">
        <v>12</v>
      </c>
      <c r="C10" s="29" t="s">
        <v>13</v>
      </c>
      <c r="D10" s="30">
        <f>'1'!D10</f>
        <v>149</v>
      </c>
      <c r="E10" s="51"/>
      <c r="F10" s="30">
        <f t="shared" si="0"/>
        <v>0</v>
      </c>
    </row>
    <row r="11" spans="1:6" ht="12.75" customHeight="1" x14ac:dyDescent="0.2">
      <c r="A11" s="166"/>
      <c r="B11" s="32" t="s">
        <v>35</v>
      </c>
      <c r="C11" s="33" t="s">
        <v>36</v>
      </c>
      <c r="D11" s="30">
        <f>'1'!D11</f>
        <v>149</v>
      </c>
      <c r="E11" s="51"/>
      <c r="F11" s="30">
        <f>E11*D11</f>
        <v>0</v>
      </c>
    </row>
    <row r="12" spans="1:6" ht="12.75" customHeight="1" x14ac:dyDescent="0.2">
      <c r="A12" s="184" t="s">
        <v>41</v>
      </c>
      <c r="B12" s="66" t="s">
        <v>205</v>
      </c>
      <c r="C12" s="66" t="s">
        <v>206</v>
      </c>
      <c r="D12" s="2">
        <f>'1'!D12</f>
        <v>215</v>
      </c>
      <c r="E12" s="50"/>
      <c r="F12" s="2">
        <f t="shared" si="0"/>
        <v>0</v>
      </c>
    </row>
    <row r="13" spans="1:6" x14ac:dyDescent="0.2">
      <c r="A13" s="185"/>
      <c r="B13" s="103" t="s">
        <v>25</v>
      </c>
      <c r="C13" s="103" t="s">
        <v>26</v>
      </c>
      <c r="D13" s="2">
        <f>'1'!D13</f>
        <v>185</v>
      </c>
      <c r="E13" s="50"/>
      <c r="F13" s="2">
        <f t="shared" si="0"/>
        <v>0</v>
      </c>
    </row>
    <row r="14" spans="1:6" ht="12.75" customHeight="1" x14ac:dyDescent="0.2">
      <c r="A14" s="164" t="s">
        <v>42</v>
      </c>
      <c r="B14" s="29" t="s">
        <v>17</v>
      </c>
      <c r="C14" s="29" t="s">
        <v>18</v>
      </c>
      <c r="D14" s="30">
        <f>'1'!D14</f>
        <v>30</v>
      </c>
      <c r="E14" s="52">
        <f>ROUNDUP((E4+E6+E8+E10+E11)/5,0)</f>
        <v>0</v>
      </c>
      <c r="F14" s="30">
        <f t="shared" si="0"/>
        <v>0</v>
      </c>
    </row>
    <row r="15" spans="1:6" x14ac:dyDescent="0.2">
      <c r="A15" s="165"/>
      <c r="B15" s="31" t="s">
        <v>22</v>
      </c>
      <c r="C15" s="31" t="s">
        <v>23</v>
      </c>
      <c r="D15" s="30">
        <f>'1'!D15</f>
        <v>60</v>
      </c>
      <c r="E15" s="51"/>
      <c r="F15" s="30">
        <f t="shared" si="0"/>
        <v>0</v>
      </c>
    </row>
    <row r="16" spans="1:6" x14ac:dyDescent="0.2">
      <c r="A16" s="165"/>
      <c r="B16" s="42" t="s">
        <v>207</v>
      </c>
      <c r="C16" s="42" t="s">
        <v>208</v>
      </c>
      <c r="D16" s="30">
        <f>'1'!D16</f>
        <v>30</v>
      </c>
      <c r="E16" s="51"/>
      <c r="F16" s="30">
        <f t="shared" si="0"/>
        <v>0</v>
      </c>
    </row>
    <row r="17" spans="1:6" ht="12.75" customHeight="1" x14ac:dyDescent="0.2">
      <c r="A17" s="165"/>
      <c r="B17" s="51" t="s">
        <v>102</v>
      </c>
      <c r="C17" s="29" t="str">
        <f>IF(B17=MISC!B27,MISC!C27,IF(B17=MISC!B25,MISC!C25,IF(B17=MISC!#REF!,MISC!#REF!)))</f>
        <v>Reader Certified Cable w/ 2 RJ12 (6 pin) connectors 30 feet Plenum</v>
      </c>
      <c r="D17" s="30">
        <f>IF(B17=MISC!B25,MISC!D25,IF(B17=MISC!B27,MISC!D27,IF(B17=MISC!#REF!,MISC!#REF!)))</f>
        <v>25</v>
      </c>
      <c r="E17" s="52">
        <f>(SUM(E4:E10))+SUM(E12:E13)+SUM(E20:E22)</f>
        <v>0</v>
      </c>
      <c r="F17" s="30">
        <f t="shared" si="0"/>
        <v>0</v>
      </c>
    </row>
    <row r="18" spans="1:6" ht="12.75" customHeight="1" x14ac:dyDescent="0.2">
      <c r="A18" s="165"/>
      <c r="B18" s="65" t="s">
        <v>182</v>
      </c>
      <c r="C18" s="31" t="s">
        <v>24</v>
      </c>
      <c r="D18" s="30">
        <f>'1'!D18</f>
        <v>24</v>
      </c>
      <c r="E18" s="52">
        <f>E17</f>
        <v>0</v>
      </c>
      <c r="F18" s="30">
        <f t="shared" si="0"/>
        <v>0</v>
      </c>
    </row>
    <row r="19" spans="1:6" ht="12.75" customHeight="1" x14ac:dyDescent="0.2">
      <c r="A19" s="166"/>
      <c r="B19" s="74" t="s">
        <v>114</v>
      </c>
      <c r="C19" s="42" t="s">
        <v>115</v>
      </c>
      <c r="D19" s="30">
        <f>'1'!D19</f>
        <v>44</v>
      </c>
      <c r="E19" s="51"/>
      <c r="F19" s="30">
        <f t="shared" si="0"/>
        <v>0</v>
      </c>
    </row>
    <row r="20" spans="1:6" ht="12.75" customHeight="1" x14ac:dyDescent="0.2">
      <c r="A20" s="187" t="s">
        <v>44</v>
      </c>
      <c r="B20" s="81" t="s">
        <v>183</v>
      </c>
      <c r="C20" s="34" t="s">
        <v>46</v>
      </c>
      <c r="D20" s="64">
        <f>'1'!D20</f>
        <v>179</v>
      </c>
      <c r="E20" s="53"/>
      <c r="F20" s="28">
        <f t="shared" si="0"/>
        <v>0</v>
      </c>
    </row>
    <row r="21" spans="1:6" ht="12.75" customHeight="1" x14ac:dyDescent="0.2">
      <c r="A21" s="188"/>
      <c r="B21" s="81" t="s">
        <v>184</v>
      </c>
      <c r="C21" s="34" t="s">
        <v>47</v>
      </c>
      <c r="D21" s="64">
        <f>'1'!D21</f>
        <v>179</v>
      </c>
      <c r="E21" s="53"/>
      <c r="F21" s="28">
        <f t="shared" si="0"/>
        <v>0</v>
      </c>
    </row>
    <row r="22" spans="1:6" ht="12.75" customHeight="1" x14ac:dyDescent="0.2">
      <c r="A22" s="189" t="s">
        <v>45</v>
      </c>
      <c r="B22" s="29" t="s">
        <v>48</v>
      </c>
      <c r="C22" s="31" t="s">
        <v>49</v>
      </c>
      <c r="D22" s="30">
        <f>'1'!D22</f>
        <v>189</v>
      </c>
      <c r="E22" s="51"/>
      <c r="F22" s="30">
        <f t="shared" si="0"/>
        <v>0</v>
      </c>
    </row>
    <row r="23" spans="1:6" ht="12.75" customHeight="1" x14ac:dyDescent="0.2">
      <c r="A23" s="190"/>
      <c r="B23" s="29" t="s">
        <v>50</v>
      </c>
      <c r="C23" s="31" t="s">
        <v>51</v>
      </c>
      <c r="D23" s="30">
        <f>'1'!D23</f>
        <v>189</v>
      </c>
      <c r="E23" s="51"/>
      <c r="F23" s="30">
        <f t="shared" si="0"/>
        <v>0</v>
      </c>
    </row>
    <row r="24" spans="1:6" x14ac:dyDescent="0.2">
      <c r="A24" s="185" t="s">
        <v>43</v>
      </c>
      <c r="B24" s="24" t="s">
        <v>39</v>
      </c>
      <c r="C24" s="24" t="s">
        <v>40</v>
      </c>
      <c r="D24" s="64">
        <f>'1'!D24</f>
        <v>299</v>
      </c>
      <c r="E24" s="50"/>
      <c r="F24" s="2">
        <f t="shared" si="0"/>
        <v>0</v>
      </c>
    </row>
    <row r="25" spans="1:6" x14ac:dyDescent="0.2">
      <c r="A25" s="186"/>
      <c r="B25" s="105" t="s">
        <v>108</v>
      </c>
      <c r="C25" s="105" t="s">
        <v>109</v>
      </c>
      <c r="D25" s="64">
        <f>'1'!D25</f>
        <v>299</v>
      </c>
      <c r="E25" s="50"/>
      <c r="F25" s="2">
        <f t="shared" si="0"/>
        <v>0</v>
      </c>
    </row>
    <row r="26" spans="1:6" ht="15.75" x14ac:dyDescent="0.25">
      <c r="A26" s="151" t="s">
        <v>16</v>
      </c>
      <c r="B26" s="152"/>
      <c r="C26" s="152"/>
      <c r="D26" s="152"/>
      <c r="E26" s="153"/>
      <c r="F26" s="4">
        <f>SUM(F2:F25)</f>
        <v>0</v>
      </c>
    </row>
    <row r="29" spans="1:6" x14ac:dyDescent="0.2">
      <c r="B29" s="36" t="s">
        <v>52</v>
      </c>
      <c r="C29" s="37">
        <f>SUM(E4:E13)</f>
        <v>0</v>
      </c>
    </row>
    <row r="30" spans="1:6" x14ac:dyDescent="0.2">
      <c r="B30" s="36" t="s">
        <v>53</v>
      </c>
      <c r="C30" s="37">
        <f>(0.1*SUM(E4:E9))+(0.03*E10)+(0.075*E11)+(0.25*E12)+(0.075*SUM(E13:E13))+(0.06*E22)+(0.1*E23)+(0.125*E20)+(0.15*E21)</f>
        <v>0</v>
      </c>
    </row>
    <row r="31" spans="1:6" x14ac:dyDescent="0.2">
      <c r="B31" s="36" t="s">
        <v>54</v>
      </c>
      <c r="C31" s="35" t="str">
        <f>IF(OR(C30&lt;=((E24*10)+(E25*6)-1),C30=0),"OK","More Power")</f>
        <v>OK</v>
      </c>
    </row>
    <row r="32" spans="1:6" x14ac:dyDescent="0.2">
      <c r="B32" s="38" t="s">
        <v>55</v>
      </c>
      <c r="C32" s="40" t="str">
        <f>IF(IF(AND((E4+E5+E8+E9)=0,(E6+E7+E10+E12+E13+E20+E22)=0),0,(E6+E7+E10+E12+E13+E20+E22)/(E4+E5+E8+E9)&gt;15),"Too Many","OK")</f>
        <v>OK</v>
      </c>
    </row>
    <row r="33" spans="1:3" x14ac:dyDescent="0.2">
      <c r="A33" s="22"/>
      <c r="B33" s="71" t="s">
        <v>135</v>
      </c>
      <c r="C33" s="72" t="str">
        <f>IF(IF(AND(E6=0,E7=0),0,(E6+E7)/(E4+E5+E8+E9)&gt;7),"Too Many","OK")</f>
        <v>OK</v>
      </c>
    </row>
    <row r="34" spans="1:3" x14ac:dyDescent="0.2">
      <c r="A34" s="22"/>
      <c r="B34" s="22"/>
      <c r="C34" s="22"/>
    </row>
    <row r="35" spans="1:3" x14ac:dyDescent="0.2">
      <c r="A35" s="22"/>
      <c r="B35" s="22"/>
      <c r="C35" s="22"/>
    </row>
  </sheetData>
  <sheetProtection password="C4C4" sheet="1" objects="1" scenarios="1"/>
  <mergeCells count="10">
    <mergeCell ref="A26:E26"/>
    <mergeCell ref="A1:F1"/>
    <mergeCell ref="A4:A9"/>
    <mergeCell ref="A10:A11"/>
    <mergeCell ref="A12:A13"/>
    <mergeCell ref="A2:F2"/>
    <mergeCell ref="A14:A19"/>
    <mergeCell ref="A20:A21"/>
    <mergeCell ref="A22:A23"/>
    <mergeCell ref="A24:A25"/>
  </mergeCells>
  <phoneticPr fontId="1" type="noConversion"/>
  <conditionalFormatting sqref="C33">
    <cfRule type="cellIs" dxfId="81" priority="1" operator="equal">
      <formula>"OK"</formula>
    </cfRule>
    <cfRule type="cellIs" dxfId="80" priority="2" operator="equal">
      <formula>"Too Many"</formula>
    </cfRule>
  </conditionalFormatting>
  <conditionalFormatting sqref="C32">
    <cfRule type="cellIs" dxfId="79" priority="5" stopIfTrue="1" operator="equal">
      <formula>#DIV/0!</formula>
    </cfRule>
    <cfRule type="cellIs" dxfId="78" priority="6" stopIfTrue="1" operator="equal">
      <formula>"OK"</formula>
    </cfRule>
    <cfRule type="cellIs" dxfId="77" priority="7" stopIfTrue="1" operator="equal">
      <formula>"Too Many"</formula>
    </cfRule>
  </conditionalFormatting>
  <conditionalFormatting sqref="C31">
    <cfRule type="cellIs" dxfId="76" priority="3" stopIfTrue="1" operator="equal">
      <formula>"OK"</formula>
    </cfRule>
    <cfRule type="cellIs" dxfId="75" priority="4" stopIfTrue="1" operator="equal">
      <formula>"More Power"</formula>
    </cfRule>
  </conditionalFormatting>
  <pageMargins left="0.7" right="0.7" top="0.75" bottom="0.75" header="0.3" footer="0.3"/>
  <pageSetup scale="71" fitToHeight="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MISC!$B$27:$B$27</xm:f>
          </x14:formula1>
          <xm:sqref>B17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F35"/>
  <sheetViews>
    <sheetView workbookViewId="0">
      <selection sqref="A1:F1"/>
    </sheetView>
  </sheetViews>
  <sheetFormatPr baseColWidth="10" defaultColWidth="9.140625" defaultRowHeight="12.75" x14ac:dyDescent="0.2"/>
  <cols>
    <col min="1" max="1" width="9.140625" bestFit="1" customWidth="1"/>
    <col min="2" max="2" width="14.85546875" bestFit="1" customWidth="1"/>
    <col min="3" max="3" width="66" customWidth="1"/>
    <col min="4" max="4" width="9.140625" style="3" bestFit="1"/>
    <col min="5" max="5" width="8.5703125" bestFit="1" customWidth="1"/>
    <col min="6" max="6" width="21.42578125" style="3" customWidth="1"/>
    <col min="8" max="8" width="17.42578125" bestFit="1" customWidth="1"/>
    <col min="9" max="9" width="8" bestFit="1" customWidth="1"/>
  </cols>
  <sheetData>
    <row r="1" spans="1:6" ht="18" x14ac:dyDescent="0.25">
      <c r="A1" s="160" t="str">
        <f>'Building Total'!C29</f>
        <v>Level 5</v>
      </c>
      <c r="B1" s="160"/>
      <c r="C1" s="160"/>
      <c r="D1" s="160"/>
      <c r="E1" s="160"/>
      <c r="F1" s="160"/>
    </row>
    <row r="2" spans="1:6" x14ac:dyDescent="0.2">
      <c r="A2" s="140" t="s">
        <v>9</v>
      </c>
      <c r="B2" s="141"/>
      <c r="C2" s="141"/>
      <c r="D2" s="141"/>
      <c r="E2" s="141"/>
      <c r="F2" s="142"/>
    </row>
    <row r="3" spans="1:6" ht="12.75" customHeight="1" x14ac:dyDescent="0.2">
      <c r="A3" s="104" t="s">
        <v>116</v>
      </c>
      <c r="B3" s="104" t="s">
        <v>117</v>
      </c>
      <c r="C3" s="104" t="s">
        <v>0</v>
      </c>
      <c r="D3" s="104" t="s">
        <v>118</v>
      </c>
      <c r="E3" s="104" t="s">
        <v>119</v>
      </c>
      <c r="F3" s="104" t="s">
        <v>3</v>
      </c>
    </row>
    <row r="4" spans="1:6" ht="12.75" customHeight="1" x14ac:dyDescent="0.2">
      <c r="A4" s="184" t="s">
        <v>37</v>
      </c>
      <c r="B4" s="103" t="s">
        <v>10</v>
      </c>
      <c r="C4" s="103" t="s">
        <v>30</v>
      </c>
      <c r="D4" s="2">
        <f>'1'!D4</f>
        <v>279</v>
      </c>
      <c r="E4" s="50"/>
      <c r="F4" s="2">
        <f t="shared" ref="F4:F25" si="0">E4*D4</f>
        <v>0</v>
      </c>
    </row>
    <row r="5" spans="1:6" x14ac:dyDescent="0.2">
      <c r="A5" s="185"/>
      <c r="B5" s="66" t="s">
        <v>179</v>
      </c>
      <c r="C5" s="103" t="s">
        <v>31</v>
      </c>
      <c r="D5" s="2">
        <f>'1'!D5</f>
        <v>279</v>
      </c>
      <c r="E5" s="50"/>
      <c r="F5" s="2">
        <f t="shared" si="0"/>
        <v>0</v>
      </c>
    </row>
    <row r="6" spans="1:6" x14ac:dyDescent="0.2">
      <c r="A6" s="185"/>
      <c r="B6" s="103" t="s">
        <v>32</v>
      </c>
      <c r="C6" s="103" t="s">
        <v>33</v>
      </c>
      <c r="D6" s="2">
        <f>'1'!D6</f>
        <v>279</v>
      </c>
      <c r="E6" s="50"/>
      <c r="F6" s="2">
        <f t="shared" si="0"/>
        <v>0</v>
      </c>
    </row>
    <row r="7" spans="1:6" x14ac:dyDescent="0.2">
      <c r="A7" s="185"/>
      <c r="B7" s="66" t="s">
        <v>180</v>
      </c>
      <c r="C7" s="103" t="s">
        <v>34</v>
      </c>
      <c r="D7" s="2">
        <f>'1'!D7</f>
        <v>279</v>
      </c>
      <c r="E7" s="50"/>
      <c r="F7" s="2">
        <f t="shared" si="0"/>
        <v>0</v>
      </c>
    </row>
    <row r="8" spans="1:6" x14ac:dyDescent="0.2">
      <c r="A8" s="185"/>
      <c r="B8" s="26" t="s">
        <v>28</v>
      </c>
      <c r="C8" s="25" t="s">
        <v>27</v>
      </c>
      <c r="D8" s="2">
        <f>'1'!D8</f>
        <v>427</v>
      </c>
      <c r="E8" s="50"/>
      <c r="F8" s="2">
        <f t="shared" si="0"/>
        <v>0</v>
      </c>
    </row>
    <row r="9" spans="1:6" ht="12.75" customHeight="1" x14ac:dyDescent="0.2">
      <c r="A9" s="186"/>
      <c r="B9" s="56" t="s">
        <v>181</v>
      </c>
      <c r="C9" s="25" t="s">
        <v>29</v>
      </c>
      <c r="D9" s="2">
        <f>'1'!D9</f>
        <v>482</v>
      </c>
      <c r="E9" s="50"/>
      <c r="F9" s="2">
        <f t="shared" si="0"/>
        <v>0</v>
      </c>
    </row>
    <row r="10" spans="1:6" ht="12.75" customHeight="1" x14ac:dyDescent="0.2">
      <c r="A10" s="164" t="s">
        <v>38</v>
      </c>
      <c r="B10" s="29" t="s">
        <v>12</v>
      </c>
      <c r="C10" s="29" t="s">
        <v>13</v>
      </c>
      <c r="D10" s="30">
        <f>'1'!D10</f>
        <v>149</v>
      </c>
      <c r="E10" s="51"/>
      <c r="F10" s="30">
        <f t="shared" si="0"/>
        <v>0</v>
      </c>
    </row>
    <row r="11" spans="1:6" ht="12.75" customHeight="1" x14ac:dyDescent="0.2">
      <c r="A11" s="166"/>
      <c r="B11" s="32" t="s">
        <v>35</v>
      </c>
      <c r="C11" s="33" t="s">
        <v>36</v>
      </c>
      <c r="D11" s="30">
        <f>'1'!D11</f>
        <v>149</v>
      </c>
      <c r="E11" s="51"/>
      <c r="F11" s="30">
        <f>E11*D11</f>
        <v>0</v>
      </c>
    </row>
    <row r="12" spans="1:6" ht="12.75" customHeight="1" x14ac:dyDescent="0.2">
      <c r="A12" s="184" t="s">
        <v>41</v>
      </c>
      <c r="B12" s="66" t="s">
        <v>205</v>
      </c>
      <c r="C12" s="66" t="s">
        <v>206</v>
      </c>
      <c r="D12" s="2">
        <f>'1'!D12</f>
        <v>215</v>
      </c>
      <c r="E12" s="50"/>
      <c r="F12" s="2">
        <f t="shared" si="0"/>
        <v>0</v>
      </c>
    </row>
    <row r="13" spans="1:6" x14ac:dyDescent="0.2">
      <c r="A13" s="185"/>
      <c r="B13" s="103" t="s">
        <v>25</v>
      </c>
      <c r="C13" s="103" t="s">
        <v>26</v>
      </c>
      <c r="D13" s="2">
        <f>'1'!D13</f>
        <v>185</v>
      </c>
      <c r="E13" s="50"/>
      <c r="F13" s="2">
        <f t="shared" si="0"/>
        <v>0</v>
      </c>
    </row>
    <row r="14" spans="1:6" ht="12.75" customHeight="1" x14ac:dyDescent="0.2">
      <c r="A14" s="164" t="s">
        <v>42</v>
      </c>
      <c r="B14" s="29" t="s">
        <v>17</v>
      </c>
      <c r="C14" s="29" t="s">
        <v>18</v>
      </c>
      <c r="D14" s="30">
        <f>'1'!D14</f>
        <v>30</v>
      </c>
      <c r="E14" s="52">
        <f>ROUNDUP((E4+E6+E8+E10+E11)/5,0)</f>
        <v>0</v>
      </c>
      <c r="F14" s="30">
        <f t="shared" si="0"/>
        <v>0</v>
      </c>
    </row>
    <row r="15" spans="1:6" x14ac:dyDescent="0.2">
      <c r="A15" s="165"/>
      <c r="B15" s="31" t="s">
        <v>22</v>
      </c>
      <c r="C15" s="31" t="s">
        <v>23</v>
      </c>
      <c r="D15" s="30">
        <f>'1'!D15</f>
        <v>60</v>
      </c>
      <c r="E15" s="51"/>
      <c r="F15" s="30">
        <f t="shared" si="0"/>
        <v>0</v>
      </c>
    </row>
    <row r="16" spans="1:6" x14ac:dyDescent="0.2">
      <c r="A16" s="165"/>
      <c r="B16" s="42" t="s">
        <v>207</v>
      </c>
      <c r="C16" s="42" t="s">
        <v>208</v>
      </c>
      <c r="D16" s="30">
        <f>'1'!D16</f>
        <v>30</v>
      </c>
      <c r="E16" s="51"/>
      <c r="F16" s="30">
        <f t="shared" si="0"/>
        <v>0</v>
      </c>
    </row>
    <row r="17" spans="1:6" ht="12.75" customHeight="1" x14ac:dyDescent="0.2">
      <c r="A17" s="165"/>
      <c r="B17" s="51" t="s">
        <v>102</v>
      </c>
      <c r="C17" s="29" t="str">
        <f>IF(B17=MISC!B27,MISC!C27,IF(B17=MISC!B25,MISC!C25,IF(B17=MISC!#REF!,MISC!#REF!)))</f>
        <v>Reader Certified Cable w/ 2 RJ12 (6 pin) connectors 30 feet Plenum</v>
      </c>
      <c r="D17" s="30">
        <f>IF(B17=MISC!B25,MISC!D25,IF(B17=MISC!B27,MISC!D27,IF(B17=MISC!#REF!,MISC!#REF!)))</f>
        <v>25</v>
      </c>
      <c r="E17" s="52">
        <f>(SUM(E4:E10))+SUM(E12:E13)+SUM(E20:E22)</f>
        <v>0</v>
      </c>
      <c r="F17" s="30">
        <f t="shared" si="0"/>
        <v>0</v>
      </c>
    </row>
    <row r="18" spans="1:6" ht="12.75" customHeight="1" x14ac:dyDescent="0.2">
      <c r="A18" s="165"/>
      <c r="B18" s="65" t="s">
        <v>182</v>
      </c>
      <c r="C18" s="31" t="s">
        <v>24</v>
      </c>
      <c r="D18" s="30">
        <f>'1'!D18</f>
        <v>24</v>
      </c>
      <c r="E18" s="52">
        <f>E17</f>
        <v>0</v>
      </c>
      <c r="F18" s="30">
        <f t="shared" si="0"/>
        <v>0</v>
      </c>
    </row>
    <row r="19" spans="1:6" ht="12.75" customHeight="1" x14ac:dyDescent="0.2">
      <c r="A19" s="166"/>
      <c r="B19" s="74" t="s">
        <v>114</v>
      </c>
      <c r="C19" s="42" t="s">
        <v>115</v>
      </c>
      <c r="D19" s="30">
        <f>'1'!D19</f>
        <v>44</v>
      </c>
      <c r="E19" s="51"/>
      <c r="F19" s="30">
        <f t="shared" si="0"/>
        <v>0</v>
      </c>
    </row>
    <row r="20" spans="1:6" ht="12.75" customHeight="1" x14ac:dyDescent="0.2">
      <c r="A20" s="187" t="s">
        <v>44</v>
      </c>
      <c r="B20" s="81" t="s">
        <v>183</v>
      </c>
      <c r="C20" s="34" t="s">
        <v>46</v>
      </c>
      <c r="D20" s="64">
        <f>'1'!D20</f>
        <v>179</v>
      </c>
      <c r="E20" s="53"/>
      <c r="F20" s="28">
        <f t="shared" si="0"/>
        <v>0</v>
      </c>
    </row>
    <row r="21" spans="1:6" ht="12.75" customHeight="1" x14ac:dyDescent="0.2">
      <c r="A21" s="188"/>
      <c r="B21" s="81" t="s">
        <v>184</v>
      </c>
      <c r="C21" s="34" t="s">
        <v>47</v>
      </c>
      <c r="D21" s="64">
        <f>'1'!D21</f>
        <v>179</v>
      </c>
      <c r="E21" s="53"/>
      <c r="F21" s="28">
        <f t="shared" si="0"/>
        <v>0</v>
      </c>
    </row>
    <row r="22" spans="1:6" ht="12.75" customHeight="1" x14ac:dyDescent="0.2">
      <c r="A22" s="189" t="s">
        <v>45</v>
      </c>
      <c r="B22" s="29" t="s">
        <v>48</v>
      </c>
      <c r="C22" s="31" t="s">
        <v>49</v>
      </c>
      <c r="D22" s="30">
        <f>'1'!D22</f>
        <v>189</v>
      </c>
      <c r="E22" s="51"/>
      <c r="F22" s="30">
        <f t="shared" si="0"/>
        <v>0</v>
      </c>
    </row>
    <row r="23" spans="1:6" ht="12.75" customHeight="1" x14ac:dyDescent="0.2">
      <c r="A23" s="190"/>
      <c r="B23" s="29" t="s">
        <v>50</v>
      </c>
      <c r="C23" s="31" t="s">
        <v>51</v>
      </c>
      <c r="D23" s="30">
        <f>'1'!D23</f>
        <v>189</v>
      </c>
      <c r="E23" s="51"/>
      <c r="F23" s="30">
        <f t="shared" si="0"/>
        <v>0</v>
      </c>
    </row>
    <row r="24" spans="1:6" x14ac:dyDescent="0.2">
      <c r="A24" s="185" t="s">
        <v>43</v>
      </c>
      <c r="B24" s="24" t="s">
        <v>39</v>
      </c>
      <c r="C24" s="24" t="s">
        <v>40</v>
      </c>
      <c r="D24" s="64">
        <f>'1'!D24</f>
        <v>299</v>
      </c>
      <c r="E24" s="50"/>
      <c r="F24" s="2">
        <f t="shared" si="0"/>
        <v>0</v>
      </c>
    </row>
    <row r="25" spans="1:6" x14ac:dyDescent="0.2">
      <c r="A25" s="186"/>
      <c r="B25" s="105" t="s">
        <v>108</v>
      </c>
      <c r="C25" s="105" t="s">
        <v>109</v>
      </c>
      <c r="D25" s="64">
        <f>'1'!D25</f>
        <v>299</v>
      </c>
      <c r="E25" s="50"/>
      <c r="F25" s="2">
        <f t="shared" si="0"/>
        <v>0</v>
      </c>
    </row>
    <row r="26" spans="1:6" ht="15.75" x14ac:dyDescent="0.25">
      <c r="A26" s="151" t="s">
        <v>16</v>
      </c>
      <c r="B26" s="152"/>
      <c r="C26" s="152"/>
      <c r="D26" s="152"/>
      <c r="E26" s="153"/>
      <c r="F26" s="4">
        <f>SUM(F2:F25)</f>
        <v>0</v>
      </c>
    </row>
    <row r="29" spans="1:6" x14ac:dyDescent="0.2">
      <c r="B29" s="36" t="s">
        <v>52</v>
      </c>
      <c r="C29" s="37">
        <f>SUM(E4:E13)</f>
        <v>0</v>
      </c>
    </row>
    <row r="30" spans="1:6" x14ac:dyDescent="0.2">
      <c r="B30" s="36" t="s">
        <v>53</v>
      </c>
      <c r="C30" s="37">
        <f>(0.1*SUM(E4:E9))+(0.03*E10)+(0.075*E11)+(0.25*E12)+(0.075*SUM(E13:E13))+(0.06*E22)+(0.1*E23)+(0.125*E20)+(0.15*E21)</f>
        <v>0</v>
      </c>
    </row>
    <row r="31" spans="1:6" x14ac:dyDescent="0.2">
      <c r="B31" s="36" t="s">
        <v>54</v>
      </c>
      <c r="C31" s="35" t="str">
        <f>IF(OR(C30&lt;=((E24*10)+(E25*6)-1),C30=0),"OK","More Power")</f>
        <v>OK</v>
      </c>
    </row>
    <row r="32" spans="1:6" x14ac:dyDescent="0.2">
      <c r="B32" s="38" t="s">
        <v>55</v>
      </c>
      <c r="C32" s="40" t="str">
        <f>IF(IF(AND((E4+E5+E8+E9)=0,(E6+E7+E10+E12+E13+E20+E22)=0),0,(E6+E7+E10+E12+E13+E20+E22)/(E4+E5+E8+E9)&gt;15),"Too Many","OK")</f>
        <v>OK</v>
      </c>
    </row>
    <row r="33" spans="1:3" x14ac:dyDescent="0.2">
      <c r="A33" s="22"/>
      <c r="B33" s="71" t="s">
        <v>135</v>
      </c>
      <c r="C33" s="72" t="str">
        <f>IF(IF(AND(E6=0,E7=0),0,(E6+E7)/(E4+E5+E8+E9)&gt;7),"Too Many","OK")</f>
        <v>OK</v>
      </c>
    </row>
    <row r="34" spans="1:3" x14ac:dyDescent="0.2">
      <c r="A34" s="22"/>
      <c r="B34" s="22"/>
      <c r="C34" s="22"/>
    </row>
    <row r="35" spans="1:3" x14ac:dyDescent="0.2">
      <c r="A35" s="22"/>
      <c r="B35" s="22"/>
      <c r="C35" s="22"/>
    </row>
  </sheetData>
  <sheetProtection password="C4C4" sheet="1" objects="1" scenarios="1"/>
  <mergeCells count="10">
    <mergeCell ref="A26:E26"/>
    <mergeCell ref="A1:F1"/>
    <mergeCell ref="A4:A9"/>
    <mergeCell ref="A10:A11"/>
    <mergeCell ref="A12:A13"/>
    <mergeCell ref="A2:F2"/>
    <mergeCell ref="A14:A19"/>
    <mergeCell ref="A20:A21"/>
    <mergeCell ref="A22:A23"/>
    <mergeCell ref="A24:A25"/>
  </mergeCells>
  <phoneticPr fontId="1" type="noConversion"/>
  <conditionalFormatting sqref="C33">
    <cfRule type="cellIs" dxfId="74" priority="1" operator="equal">
      <formula>"OK"</formula>
    </cfRule>
    <cfRule type="cellIs" dxfId="73" priority="2" operator="equal">
      <formula>"Too Many"</formula>
    </cfRule>
  </conditionalFormatting>
  <conditionalFormatting sqref="C32">
    <cfRule type="cellIs" dxfId="72" priority="5" stopIfTrue="1" operator="equal">
      <formula>#DIV/0!</formula>
    </cfRule>
    <cfRule type="cellIs" dxfId="71" priority="6" stopIfTrue="1" operator="equal">
      <formula>"OK"</formula>
    </cfRule>
    <cfRule type="cellIs" dxfId="70" priority="7" stopIfTrue="1" operator="equal">
      <formula>"Too Many"</formula>
    </cfRule>
  </conditionalFormatting>
  <conditionalFormatting sqref="C31">
    <cfRule type="cellIs" dxfId="69" priority="3" stopIfTrue="1" operator="equal">
      <formula>"OK"</formula>
    </cfRule>
    <cfRule type="cellIs" dxfId="68" priority="4" stopIfTrue="1" operator="equal">
      <formula>"More Power"</formula>
    </cfRule>
  </conditionalFormatting>
  <pageMargins left="0.7" right="0.7" top="0.75" bottom="0.75" header="0.3" footer="0.3"/>
  <pageSetup scale="71" fitToHeight="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MISC!$B$27:$B$27</xm:f>
          </x14:formula1>
          <xm:sqref>B17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F35"/>
  <sheetViews>
    <sheetView workbookViewId="0">
      <selection sqref="A1:F1"/>
    </sheetView>
  </sheetViews>
  <sheetFormatPr baseColWidth="10" defaultColWidth="9.140625" defaultRowHeight="12.75" x14ac:dyDescent="0.2"/>
  <cols>
    <col min="1" max="1" width="9.140625" bestFit="1" customWidth="1"/>
    <col min="2" max="2" width="14.85546875" bestFit="1" customWidth="1"/>
    <col min="3" max="3" width="66" customWidth="1"/>
    <col min="4" max="4" width="9.140625" style="3" bestFit="1"/>
    <col min="5" max="5" width="8.5703125" bestFit="1" customWidth="1"/>
    <col min="6" max="6" width="21.42578125" style="3" customWidth="1"/>
    <col min="8" max="8" width="17.42578125" bestFit="1" customWidth="1"/>
    <col min="9" max="9" width="8" bestFit="1" customWidth="1"/>
  </cols>
  <sheetData>
    <row r="1" spans="1:6" ht="18" x14ac:dyDescent="0.25">
      <c r="A1" s="160" t="str">
        <f>'Building Total'!C30</f>
        <v>Level 6</v>
      </c>
      <c r="B1" s="160"/>
      <c r="C1" s="160"/>
      <c r="D1" s="160"/>
      <c r="E1" s="160"/>
      <c r="F1" s="160"/>
    </row>
    <row r="2" spans="1:6" x14ac:dyDescent="0.2">
      <c r="A2" s="140" t="s">
        <v>9</v>
      </c>
      <c r="B2" s="141"/>
      <c r="C2" s="141"/>
      <c r="D2" s="141"/>
      <c r="E2" s="141"/>
      <c r="F2" s="142"/>
    </row>
    <row r="3" spans="1:6" ht="12.75" customHeight="1" x14ac:dyDescent="0.2">
      <c r="A3" s="104" t="s">
        <v>116</v>
      </c>
      <c r="B3" s="104" t="s">
        <v>117</v>
      </c>
      <c r="C3" s="104" t="s">
        <v>0</v>
      </c>
      <c r="D3" s="104" t="s">
        <v>118</v>
      </c>
      <c r="E3" s="104" t="s">
        <v>119</v>
      </c>
      <c r="F3" s="104" t="s">
        <v>3</v>
      </c>
    </row>
    <row r="4" spans="1:6" ht="12.75" customHeight="1" x14ac:dyDescent="0.2">
      <c r="A4" s="184" t="s">
        <v>37</v>
      </c>
      <c r="B4" s="103" t="s">
        <v>10</v>
      </c>
      <c r="C4" s="103" t="s">
        <v>30</v>
      </c>
      <c r="D4" s="2">
        <f>'1'!D4</f>
        <v>279</v>
      </c>
      <c r="E4" s="50"/>
      <c r="F4" s="2">
        <f t="shared" ref="F4:F25" si="0">E4*D4</f>
        <v>0</v>
      </c>
    </row>
    <row r="5" spans="1:6" x14ac:dyDescent="0.2">
      <c r="A5" s="185"/>
      <c r="B5" s="66" t="s">
        <v>179</v>
      </c>
      <c r="C5" s="103" t="s">
        <v>31</v>
      </c>
      <c r="D5" s="2">
        <f>'1'!D5</f>
        <v>279</v>
      </c>
      <c r="E5" s="50"/>
      <c r="F5" s="2">
        <f t="shared" si="0"/>
        <v>0</v>
      </c>
    </row>
    <row r="6" spans="1:6" x14ac:dyDescent="0.2">
      <c r="A6" s="185"/>
      <c r="B6" s="103" t="s">
        <v>32</v>
      </c>
      <c r="C6" s="103" t="s">
        <v>33</v>
      </c>
      <c r="D6" s="2">
        <f>'1'!D6</f>
        <v>279</v>
      </c>
      <c r="E6" s="50"/>
      <c r="F6" s="2">
        <f t="shared" si="0"/>
        <v>0</v>
      </c>
    </row>
    <row r="7" spans="1:6" x14ac:dyDescent="0.2">
      <c r="A7" s="185"/>
      <c r="B7" s="66" t="s">
        <v>180</v>
      </c>
      <c r="C7" s="103" t="s">
        <v>34</v>
      </c>
      <c r="D7" s="2">
        <f>'1'!D7</f>
        <v>279</v>
      </c>
      <c r="E7" s="50"/>
      <c r="F7" s="2">
        <f t="shared" si="0"/>
        <v>0</v>
      </c>
    </row>
    <row r="8" spans="1:6" x14ac:dyDescent="0.2">
      <c r="A8" s="185"/>
      <c r="B8" s="26" t="s">
        <v>28</v>
      </c>
      <c r="C8" s="25" t="s">
        <v>27</v>
      </c>
      <c r="D8" s="2">
        <f>'1'!D8</f>
        <v>427</v>
      </c>
      <c r="E8" s="50"/>
      <c r="F8" s="2">
        <f t="shared" si="0"/>
        <v>0</v>
      </c>
    </row>
    <row r="9" spans="1:6" ht="12.75" customHeight="1" x14ac:dyDescent="0.2">
      <c r="A9" s="186"/>
      <c r="B9" s="56" t="s">
        <v>181</v>
      </c>
      <c r="C9" s="25" t="s">
        <v>29</v>
      </c>
      <c r="D9" s="2">
        <f>'1'!D9</f>
        <v>482</v>
      </c>
      <c r="E9" s="50"/>
      <c r="F9" s="2">
        <f t="shared" si="0"/>
        <v>0</v>
      </c>
    </row>
    <row r="10" spans="1:6" ht="12.75" customHeight="1" x14ac:dyDescent="0.2">
      <c r="A10" s="164" t="s">
        <v>38</v>
      </c>
      <c r="B10" s="29" t="s">
        <v>12</v>
      </c>
      <c r="C10" s="29" t="s">
        <v>13</v>
      </c>
      <c r="D10" s="30">
        <f>'1'!D10</f>
        <v>149</v>
      </c>
      <c r="E10" s="51"/>
      <c r="F10" s="30">
        <f t="shared" si="0"/>
        <v>0</v>
      </c>
    </row>
    <row r="11" spans="1:6" ht="12.75" customHeight="1" x14ac:dyDescent="0.2">
      <c r="A11" s="166"/>
      <c r="B11" s="32" t="s">
        <v>35</v>
      </c>
      <c r="C11" s="33" t="s">
        <v>36</v>
      </c>
      <c r="D11" s="30">
        <f>'1'!D11</f>
        <v>149</v>
      </c>
      <c r="E11" s="51"/>
      <c r="F11" s="30">
        <f>E11*D11</f>
        <v>0</v>
      </c>
    </row>
    <row r="12" spans="1:6" ht="12.75" customHeight="1" x14ac:dyDescent="0.2">
      <c r="A12" s="184" t="s">
        <v>41</v>
      </c>
      <c r="B12" s="66" t="s">
        <v>205</v>
      </c>
      <c r="C12" s="66" t="s">
        <v>206</v>
      </c>
      <c r="D12" s="2">
        <f>'1'!D12</f>
        <v>215</v>
      </c>
      <c r="E12" s="50"/>
      <c r="F12" s="2">
        <f t="shared" si="0"/>
        <v>0</v>
      </c>
    </row>
    <row r="13" spans="1:6" x14ac:dyDescent="0.2">
      <c r="A13" s="185"/>
      <c r="B13" s="103" t="s">
        <v>25</v>
      </c>
      <c r="C13" s="103" t="s">
        <v>26</v>
      </c>
      <c r="D13" s="2">
        <f>'1'!D13</f>
        <v>185</v>
      </c>
      <c r="E13" s="50"/>
      <c r="F13" s="2">
        <f t="shared" si="0"/>
        <v>0</v>
      </c>
    </row>
    <row r="14" spans="1:6" ht="12.75" customHeight="1" x14ac:dyDescent="0.2">
      <c r="A14" s="164" t="s">
        <v>42</v>
      </c>
      <c r="B14" s="29" t="s">
        <v>17</v>
      </c>
      <c r="C14" s="29" t="s">
        <v>18</v>
      </c>
      <c r="D14" s="30">
        <f>'1'!D14</f>
        <v>30</v>
      </c>
      <c r="E14" s="52">
        <f>ROUNDUP((E4+E6+E8+E10+E11)/5,0)</f>
        <v>0</v>
      </c>
      <c r="F14" s="30">
        <f t="shared" si="0"/>
        <v>0</v>
      </c>
    </row>
    <row r="15" spans="1:6" x14ac:dyDescent="0.2">
      <c r="A15" s="165"/>
      <c r="B15" s="31" t="s">
        <v>22</v>
      </c>
      <c r="C15" s="31" t="s">
        <v>23</v>
      </c>
      <c r="D15" s="30">
        <f>'1'!D15</f>
        <v>60</v>
      </c>
      <c r="E15" s="51"/>
      <c r="F15" s="30">
        <f t="shared" si="0"/>
        <v>0</v>
      </c>
    </row>
    <row r="16" spans="1:6" x14ac:dyDescent="0.2">
      <c r="A16" s="165"/>
      <c r="B16" s="42" t="s">
        <v>207</v>
      </c>
      <c r="C16" s="42" t="s">
        <v>208</v>
      </c>
      <c r="D16" s="30">
        <f>'1'!D16</f>
        <v>30</v>
      </c>
      <c r="E16" s="51"/>
      <c r="F16" s="30">
        <f t="shared" si="0"/>
        <v>0</v>
      </c>
    </row>
    <row r="17" spans="1:6" ht="12.75" customHeight="1" x14ac:dyDescent="0.2">
      <c r="A17" s="165"/>
      <c r="B17" s="51" t="s">
        <v>102</v>
      </c>
      <c r="C17" s="29" t="str">
        <f>IF(B17=MISC!B27,MISC!C27,IF(B17=MISC!B25,MISC!C25,IF(B17=MISC!#REF!,MISC!#REF!)))</f>
        <v>Reader Certified Cable w/ 2 RJ12 (6 pin) connectors 30 feet Plenum</v>
      </c>
      <c r="D17" s="30">
        <f>IF(B17=MISC!B25,MISC!D25,IF(B17=MISC!B27,MISC!D27,IF(B17=MISC!#REF!,MISC!#REF!)))</f>
        <v>25</v>
      </c>
      <c r="E17" s="52">
        <f>(SUM(E4:E10))+SUM(E12:E13)+SUM(E20:E22)</f>
        <v>0</v>
      </c>
      <c r="F17" s="30">
        <f t="shared" si="0"/>
        <v>0</v>
      </c>
    </row>
    <row r="18" spans="1:6" ht="12.75" customHeight="1" x14ac:dyDescent="0.2">
      <c r="A18" s="165"/>
      <c r="B18" s="65" t="s">
        <v>182</v>
      </c>
      <c r="C18" s="31" t="s">
        <v>24</v>
      </c>
      <c r="D18" s="30">
        <f>'1'!D18</f>
        <v>24</v>
      </c>
      <c r="E18" s="52">
        <f>E17</f>
        <v>0</v>
      </c>
      <c r="F18" s="30">
        <f t="shared" si="0"/>
        <v>0</v>
      </c>
    </row>
    <row r="19" spans="1:6" ht="12.75" customHeight="1" x14ac:dyDescent="0.2">
      <c r="A19" s="166"/>
      <c r="B19" s="74" t="s">
        <v>114</v>
      </c>
      <c r="C19" s="42" t="s">
        <v>115</v>
      </c>
      <c r="D19" s="30">
        <f>'1'!D19</f>
        <v>44</v>
      </c>
      <c r="E19" s="51"/>
      <c r="F19" s="30">
        <f t="shared" si="0"/>
        <v>0</v>
      </c>
    </row>
    <row r="20" spans="1:6" ht="12.75" customHeight="1" x14ac:dyDescent="0.2">
      <c r="A20" s="187" t="s">
        <v>44</v>
      </c>
      <c r="B20" s="81" t="s">
        <v>183</v>
      </c>
      <c r="C20" s="34" t="s">
        <v>46</v>
      </c>
      <c r="D20" s="64">
        <f>'1'!D20</f>
        <v>179</v>
      </c>
      <c r="E20" s="53"/>
      <c r="F20" s="28">
        <f t="shared" si="0"/>
        <v>0</v>
      </c>
    </row>
    <row r="21" spans="1:6" ht="12.75" customHeight="1" x14ac:dyDescent="0.2">
      <c r="A21" s="188"/>
      <c r="B21" s="81" t="s">
        <v>184</v>
      </c>
      <c r="C21" s="34" t="s">
        <v>47</v>
      </c>
      <c r="D21" s="64">
        <f>'1'!D21</f>
        <v>179</v>
      </c>
      <c r="E21" s="53"/>
      <c r="F21" s="28">
        <f t="shared" si="0"/>
        <v>0</v>
      </c>
    </row>
    <row r="22" spans="1:6" ht="12.75" customHeight="1" x14ac:dyDescent="0.2">
      <c r="A22" s="189" t="s">
        <v>45</v>
      </c>
      <c r="B22" s="29" t="s">
        <v>48</v>
      </c>
      <c r="C22" s="31" t="s">
        <v>49</v>
      </c>
      <c r="D22" s="30">
        <f>'1'!D22</f>
        <v>189</v>
      </c>
      <c r="E22" s="51"/>
      <c r="F22" s="30">
        <f t="shared" si="0"/>
        <v>0</v>
      </c>
    </row>
    <row r="23" spans="1:6" ht="12.75" customHeight="1" x14ac:dyDescent="0.2">
      <c r="A23" s="190"/>
      <c r="B23" s="29" t="s">
        <v>50</v>
      </c>
      <c r="C23" s="31" t="s">
        <v>51</v>
      </c>
      <c r="D23" s="30">
        <f>'1'!D23</f>
        <v>189</v>
      </c>
      <c r="E23" s="51"/>
      <c r="F23" s="30">
        <f t="shared" si="0"/>
        <v>0</v>
      </c>
    </row>
    <row r="24" spans="1:6" x14ac:dyDescent="0.2">
      <c r="A24" s="185" t="s">
        <v>43</v>
      </c>
      <c r="B24" s="24" t="s">
        <v>39</v>
      </c>
      <c r="C24" s="24" t="s">
        <v>40</v>
      </c>
      <c r="D24" s="64">
        <f>'1'!D24</f>
        <v>299</v>
      </c>
      <c r="E24" s="50"/>
      <c r="F24" s="2">
        <f t="shared" si="0"/>
        <v>0</v>
      </c>
    </row>
    <row r="25" spans="1:6" x14ac:dyDescent="0.2">
      <c r="A25" s="186"/>
      <c r="B25" s="105" t="s">
        <v>108</v>
      </c>
      <c r="C25" s="105" t="s">
        <v>109</v>
      </c>
      <c r="D25" s="64">
        <f>'1'!D25</f>
        <v>299</v>
      </c>
      <c r="E25" s="50"/>
      <c r="F25" s="2">
        <f t="shared" si="0"/>
        <v>0</v>
      </c>
    </row>
    <row r="26" spans="1:6" ht="15.75" x14ac:dyDescent="0.25">
      <c r="A26" s="151" t="s">
        <v>16</v>
      </c>
      <c r="B26" s="152"/>
      <c r="C26" s="152"/>
      <c r="D26" s="152"/>
      <c r="E26" s="153"/>
      <c r="F26" s="4">
        <f>SUM(F2:F25)</f>
        <v>0</v>
      </c>
    </row>
    <row r="29" spans="1:6" x14ac:dyDescent="0.2">
      <c r="B29" s="36" t="s">
        <v>52</v>
      </c>
      <c r="C29" s="37">
        <f>SUM(E4:E13)</f>
        <v>0</v>
      </c>
    </row>
    <row r="30" spans="1:6" x14ac:dyDescent="0.2">
      <c r="B30" s="36" t="s">
        <v>53</v>
      </c>
      <c r="C30" s="37">
        <f>(0.1*SUM(E4:E9))+(0.03*E10)+(0.075*E11)+(0.25*E12)+(0.075*SUM(E13:E13))+(0.06*E22)+(0.1*E23)+(0.125*E20)+(0.15*E21)</f>
        <v>0</v>
      </c>
    </row>
    <row r="31" spans="1:6" x14ac:dyDescent="0.2">
      <c r="B31" s="36" t="s">
        <v>54</v>
      </c>
      <c r="C31" s="35" t="str">
        <f>IF(OR(C30&lt;=((E24*10)+(E25*6)-1),C30=0),"OK","More Power")</f>
        <v>OK</v>
      </c>
    </row>
    <row r="32" spans="1:6" x14ac:dyDescent="0.2">
      <c r="B32" s="38" t="s">
        <v>55</v>
      </c>
      <c r="C32" s="40" t="str">
        <f>IF(IF(AND((E4+E5+E8+E9)=0,(E6+E7+E10+E12+E13+E20+E22)=0),0,(E6+E7+E10+E12+E13+E20+E22)/(E4+E5+E8+E9)&gt;15),"Too Many","OK")</f>
        <v>OK</v>
      </c>
    </row>
    <row r="33" spans="1:3" x14ac:dyDescent="0.2">
      <c r="A33" s="22"/>
      <c r="B33" s="71" t="s">
        <v>135</v>
      </c>
      <c r="C33" s="72" t="str">
        <f>IF(IF(AND(E6=0,E7=0),0,(E6+E7)/(E4+E5+E8+E9)&gt;7),"Too Many","OK")</f>
        <v>OK</v>
      </c>
    </row>
    <row r="34" spans="1:3" x14ac:dyDescent="0.2">
      <c r="A34" s="22"/>
      <c r="B34" s="22"/>
      <c r="C34" s="22"/>
    </row>
    <row r="35" spans="1:3" x14ac:dyDescent="0.2">
      <c r="A35" s="22"/>
      <c r="B35" s="22"/>
      <c r="C35" s="22"/>
    </row>
  </sheetData>
  <sheetProtection password="C4C4" sheet="1" objects="1" scenarios="1"/>
  <mergeCells count="10">
    <mergeCell ref="A26:E26"/>
    <mergeCell ref="A1:F1"/>
    <mergeCell ref="A4:A9"/>
    <mergeCell ref="A10:A11"/>
    <mergeCell ref="A12:A13"/>
    <mergeCell ref="A2:F2"/>
    <mergeCell ref="A14:A19"/>
    <mergeCell ref="A20:A21"/>
    <mergeCell ref="A22:A23"/>
    <mergeCell ref="A24:A25"/>
  </mergeCells>
  <phoneticPr fontId="1" type="noConversion"/>
  <conditionalFormatting sqref="C33">
    <cfRule type="cellIs" dxfId="67" priority="1" operator="equal">
      <formula>"OK"</formula>
    </cfRule>
    <cfRule type="cellIs" dxfId="66" priority="2" operator="equal">
      <formula>"Too Many"</formula>
    </cfRule>
  </conditionalFormatting>
  <conditionalFormatting sqref="C32">
    <cfRule type="cellIs" dxfId="65" priority="5" stopIfTrue="1" operator="equal">
      <formula>#DIV/0!</formula>
    </cfRule>
    <cfRule type="cellIs" dxfId="64" priority="6" stopIfTrue="1" operator="equal">
      <formula>"OK"</formula>
    </cfRule>
    <cfRule type="cellIs" dxfId="63" priority="7" stopIfTrue="1" operator="equal">
      <formula>"Too Many"</formula>
    </cfRule>
  </conditionalFormatting>
  <conditionalFormatting sqref="C31">
    <cfRule type="cellIs" dxfId="62" priority="3" stopIfTrue="1" operator="equal">
      <formula>"OK"</formula>
    </cfRule>
    <cfRule type="cellIs" dxfId="61" priority="4" stopIfTrue="1" operator="equal">
      <formula>"More Power"</formula>
    </cfRule>
  </conditionalFormatting>
  <pageMargins left="0.7" right="0.7" top="0.75" bottom="0.75" header="0.3" footer="0.3"/>
  <pageSetup scale="71" fitToHeight="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MISC!$B$27:$B$27</xm:f>
          </x14:formula1>
          <xm:sqref>B17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22</vt:i4>
      </vt:variant>
    </vt:vector>
  </HeadingPairs>
  <TitlesOfParts>
    <vt:vector size="43" baseType="lpstr">
      <vt:lpstr>Building Total</vt:lpstr>
      <vt:lpstr>Network Hardware Totals</vt:lpstr>
      <vt:lpstr>Transmitter Totals</vt:lpstr>
      <vt:lpstr>1</vt:lpstr>
      <vt:lpstr>2</vt:lpstr>
      <vt:lpstr>3</vt:lpstr>
      <vt:lpstr>4</vt:lpstr>
      <vt:lpstr>5</vt:lpstr>
      <vt:lpstr>6</vt:lpstr>
      <vt:lpstr>7</vt:lpstr>
      <vt:lpstr>8</vt:lpstr>
      <vt:lpstr>9</vt:lpstr>
      <vt:lpstr>10</vt:lpstr>
      <vt:lpstr>11</vt:lpstr>
      <vt:lpstr>12</vt:lpstr>
      <vt:lpstr>13</vt:lpstr>
      <vt:lpstr>OUT</vt:lpstr>
      <vt:lpstr>MISC</vt:lpstr>
      <vt:lpstr>End Notes &amp; Terms</vt:lpstr>
      <vt:lpstr>Server &amp; Client Specs</vt:lpstr>
      <vt:lpstr>Order Sheet</vt:lpstr>
      <vt:lpstr>'1'!Área_de_impresión</vt:lpstr>
      <vt:lpstr>'10'!Área_de_impresión</vt:lpstr>
      <vt:lpstr>'11'!Área_de_impresión</vt:lpstr>
      <vt:lpstr>'12'!Área_de_impresión</vt:lpstr>
      <vt:lpstr>'13'!Área_de_impresión</vt:lpstr>
      <vt:lpstr>'2'!Área_de_impresión</vt:lpstr>
      <vt:lpstr>'3'!Área_de_impresión</vt:lpstr>
      <vt:lpstr>'4'!Área_de_impresión</vt:lpstr>
      <vt:lpstr>'5'!Área_de_impresión</vt:lpstr>
      <vt:lpstr>'6'!Área_de_impresión</vt:lpstr>
      <vt:lpstr>'7'!Área_de_impresión</vt:lpstr>
      <vt:lpstr>'8'!Área_de_impresión</vt:lpstr>
      <vt:lpstr>'9'!Área_de_impresión</vt:lpstr>
      <vt:lpstr>'Building Total'!Área_de_impresión</vt:lpstr>
      <vt:lpstr>'End Notes &amp; Terms'!Área_de_impresión</vt:lpstr>
      <vt:lpstr>MISC!Área_de_impresión</vt:lpstr>
      <vt:lpstr>'Network Hardware Totals'!Área_de_impresión</vt:lpstr>
      <vt:lpstr>'Order Sheet'!Área_de_impresión</vt:lpstr>
      <vt:lpstr>'Server &amp; Client Specs'!Área_de_impresión</vt:lpstr>
      <vt:lpstr>'Transmitter Totals'!Área_de_impresión</vt:lpstr>
      <vt:lpstr>'Network Hardware Totals'!ReaderCables</vt:lpstr>
      <vt:lpstr>ReaderCables</vt:lpstr>
    </vt:vector>
  </TitlesOfParts>
  <Company>Visonic Technologies Americas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Lynch</dc:creator>
  <cp:lastModifiedBy>cyanez</cp:lastModifiedBy>
  <cp:lastPrinted>2014-09-23T20:40:00Z</cp:lastPrinted>
  <dcterms:created xsi:type="dcterms:W3CDTF">2009-09-29T18:57:57Z</dcterms:created>
  <dcterms:modified xsi:type="dcterms:W3CDTF">2018-10-18T21:13:55Z</dcterms:modified>
</cp:coreProperties>
</file>