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3 PROYECTOS\2018\responder 5000\HOSPITAL DE CURICO\PRESUPUESTOS E ITEMIZADO\"/>
    </mc:Choice>
  </mc:AlternateContent>
  <xr:revisionPtr revIDLastSave="0" documentId="13_ncr:1_{827E635E-19BE-4C31-8DD4-3D3D2B4BB1AA}" xr6:coauthVersionLast="43" xr6:coauthVersionMax="43" xr10:uidLastSave="{00000000-0000-0000-0000-000000000000}"/>
  <bookViews>
    <workbookView xWindow="20370" yWindow="-120" windowWidth="20640" windowHeight="11160" activeTab="3" xr2:uid="{00000000-000D-0000-FFFF-FFFF00000000}"/>
  </bookViews>
  <sheets>
    <sheet name="Llamado enfermeria y errantes" sheetId="3" r:id="rId1"/>
    <sheet name="entrega a cliente" sheetId="4" r:id="rId2"/>
    <sheet name="aprobado errante" sheetId="6" r:id="rId3"/>
    <sheet name="Hoja1" sheetId="5" r:id="rId4"/>
  </sheets>
  <definedNames>
    <definedName name="A_A">'Llamado enfermeria y errantes'!$L$4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5" l="1"/>
  <c r="I89" i="3" l="1"/>
  <c r="H89" i="3" l="1"/>
  <c r="H68" i="3" l="1"/>
  <c r="H67" i="3"/>
  <c r="H66" i="3"/>
  <c r="H65" i="3"/>
  <c r="H64" i="3"/>
  <c r="H63" i="3"/>
  <c r="H62" i="3"/>
  <c r="H61" i="3"/>
  <c r="H60" i="3"/>
  <c r="H58" i="3"/>
  <c r="H56" i="3"/>
  <c r="H55" i="3"/>
  <c r="H54" i="3"/>
  <c r="G30" i="4"/>
  <c r="H52" i="3"/>
  <c r="H51" i="3"/>
  <c r="H50" i="3"/>
  <c r="H49" i="3"/>
  <c r="H48" i="3"/>
  <c r="H47" i="3"/>
  <c r="H46" i="3"/>
  <c r="H45" i="3"/>
  <c r="H44" i="3"/>
  <c r="H43" i="3"/>
  <c r="H42" i="3"/>
  <c r="H41" i="3"/>
  <c r="H23" i="3"/>
  <c r="H21" i="3"/>
  <c r="H18" i="3"/>
  <c r="H14" i="3"/>
  <c r="H9" i="3"/>
  <c r="H7" i="3"/>
  <c r="I7" i="3" s="1"/>
  <c r="G41" i="3"/>
  <c r="G42" i="3"/>
  <c r="G43" i="3"/>
  <c r="G44" i="3"/>
  <c r="G45" i="3"/>
  <c r="G46" i="3"/>
  <c r="G47" i="3"/>
  <c r="G48" i="3"/>
  <c r="G49" i="3"/>
  <c r="G50" i="3"/>
  <c r="G51" i="3"/>
  <c r="G52" i="3"/>
  <c r="G38" i="3"/>
  <c r="G36" i="3"/>
  <c r="G35" i="3"/>
  <c r="G31" i="3"/>
  <c r="G32" i="3"/>
  <c r="G33" i="3"/>
  <c r="G29" i="3"/>
  <c r="G28" i="3"/>
  <c r="G26" i="3"/>
  <c r="G25" i="3"/>
  <c r="G24" i="3"/>
  <c r="G22" i="3"/>
  <c r="G19" i="3"/>
  <c r="G20" i="3"/>
  <c r="G15" i="3"/>
  <c r="G16" i="3"/>
  <c r="G17" i="3"/>
  <c r="G9" i="3"/>
  <c r="G10" i="3"/>
  <c r="G11" i="3"/>
  <c r="G12" i="3"/>
  <c r="G13" i="3"/>
  <c r="G14" i="3"/>
  <c r="G18" i="3"/>
  <c r="G21" i="3"/>
  <c r="G23" i="3"/>
  <c r="G27" i="3"/>
  <c r="G30" i="3"/>
  <c r="G34" i="3"/>
  <c r="G37" i="3"/>
  <c r="G39" i="3"/>
  <c r="G40" i="3"/>
  <c r="G8" i="3"/>
  <c r="H34" i="3" l="1"/>
  <c r="H27" i="3"/>
  <c r="H30" i="3"/>
  <c r="L7" i="3"/>
  <c r="I54" i="3" l="1"/>
  <c r="L54" i="3"/>
  <c r="L64" i="3" l="1"/>
  <c r="L63" i="3"/>
  <c r="L62" i="3"/>
  <c r="I61" i="3"/>
  <c r="L60" i="3"/>
  <c r="L58" i="3"/>
  <c r="L56" i="3"/>
  <c r="L55" i="3"/>
  <c r="I68" i="3"/>
  <c r="I67" i="3"/>
  <c r="I66" i="3"/>
  <c r="I65" i="3"/>
  <c r="L61" i="3"/>
  <c r="H59" i="3"/>
  <c r="I59" i="3" s="1"/>
  <c r="H57" i="3"/>
  <c r="I57" i="3" s="1"/>
  <c r="L57" i="3" l="1"/>
  <c r="L59" i="3"/>
  <c r="N65" i="3"/>
  <c r="I63" i="3"/>
  <c r="I55" i="3"/>
  <c r="L65" i="3"/>
  <c r="I58" i="3"/>
  <c r="I62" i="3"/>
  <c r="I56" i="3"/>
  <c r="I60" i="3"/>
  <c r="I64" i="3"/>
  <c r="M57" i="3" l="1"/>
  <c r="N57" i="3" s="1"/>
  <c r="M61" i="3"/>
  <c r="N61" i="3" s="1"/>
  <c r="M58" i="3"/>
  <c r="N58" i="3" s="1"/>
  <c r="M62" i="3"/>
  <c r="N62" i="3" s="1"/>
  <c r="M64" i="3"/>
  <c r="N64" i="3" s="1"/>
  <c r="M55" i="3"/>
  <c r="N55" i="3" s="1"/>
  <c r="M59" i="3"/>
  <c r="N59" i="3" s="1"/>
  <c r="M63" i="3"/>
  <c r="N63" i="3" s="1"/>
  <c r="M56" i="3"/>
  <c r="N56" i="3" s="1"/>
  <c r="M60" i="3"/>
  <c r="N60" i="3" s="1"/>
  <c r="M54" i="3"/>
  <c r="N54" i="3" s="1"/>
  <c r="I70" i="3"/>
  <c r="I69" i="3"/>
  <c r="Q65" i="3" l="1"/>
  <c r="Q57" i="3" l="1"/>
  <c r="Q61" i="3"/>
  <c r="Q54" i="3"/>
  <c r="Q58" i="3"/>
  <c r="Q62" i="3"/>
  <c r="Q55" i="3"/>
  <c r="Q59" i="3"/>
  <c r="Q63" i="3"/>
  <c r="Q56" i="3"/>
  <c r="Q60" i="3"/>
  <c r="Q64" i="3"/>
  <c r="L37" i="3"/>
  <c r="L39" i="3"/>
  <c r="I37" i="3" l="1"/>
  <c r="I39" i="3"/>
  <c r="I48" i="3"/>
  <c r="L34" i="3"/>
  <c r="I30" i="3"/>
  <c r="L23" i="3"/>
  <c r="L9" i="3"/>
  <c r="L21" i="3"/>
  <c r="L18" i="3"/>
  <c r="L27" i="3"/>
  <c r="L14" i="3"/>
  <c r="I21" i="3" l="1"/>
  <c r="I34" i="3"/>
  <c r="I27" i="3"/>
  <c r="I14" i="3"/>
  <c r="I18" i="3"/>
  <c r="I23" i="3"/>
  <c r="I9" i="3"/>
  <c r="H40" i="3" l="1"/>
  <c r="L40" i="3" l="1"/>
  <c r="L41" i="3" s="1"/>
  <c r="I40" i="3"/>
  <c r="I71" i="3" s="1"/>
  <c r="I50" i="3"/>
  <c r="I49" i="3"/>
  <c r="I47" i="3"/>
  <c r="I45" i="3"/>
  <c r="I46" i="3"/>
  <c r="I44" i="3"/>
  <c r="I43" i="3"/>
  <c r="I42" i="3"/>
  <c r="I41" i="3"/>
  <c r="N41" i="3" l="1"/>
  <c r="I51" i="3"/>
  <c r="I52" i="3" l="1"/>
  <c r="Q41" i="3" l="1"/>
  <c r="M14" i="3" l="1"/>
  <c r="N14" i="3" s="1"/>
  <c r="M39" i="3"/>
  <c r="N39" i="3" s="1"/>
  <c r="M18" i="3"/>
  <c r="N18" i="3" s="1"/>
  <c r="M30" i="3"/>
  <c r="M40" i="3"/>
  <c r="N40" i="3" s="1"/>
  <c r="M23" i="3"/>
  <c r="N23" i="3" s="1"/>
  <c r="M21" i="3"/>
  <c r="N21" i="3" s="1"/>
  <c r="M34" i="3"/>
  <c r="N34" i="3" s="1"/>
  <c r="M7" i="3"/>
  <c r="M9" i="3"/>
  <c r="N9" i="3" s="1"/>
  <c r="M37" i="3"/>
  <c r="N37" i="3" s="1"/>
  <c r="M27" i="3"/>
  <c r="N27" i="3" s="1"/>
  <c r="Q27" i="3" l="1"/>
  <c r="Q30" i="3"/>
  <c r="Q37" i="3"/>
  <c r="Q21" i="3"/>
  <c r="Q18" i="3"/>
  <c r="Q39" i="3"/>
  <c r="Q34" i="3"/>
  <c r="Q9" i="3"/>
  <c r="Q23" i="3"/>
  <c r="N7" i="3"/>
  <c r="Q7" i="3"/>
  <c r="Q40" i="3"/>
  <c r="Q14" i="3"/>
</calcChain>
</file>

<file path=xl/sharedStrings.xml><?xml version="1.0" encoding="utf-8"?>
<sst xmlns="http://schemas.openxmlformats.org/spreadsheetml/2006/main" count="443" uniqueCount="181">
  <si>
    <t>ÍTEM</t>
  </si>
  <si>
    <t>DESIGNACIÓN</t>
  </si>
  <si>
    <t>UNIDAD</t>
  </si>
  <si>
    <t/>
  </si>
  <si>
    <t>u</t>
  </si>
  <si>
    <t>11.6</t>
  </si>
  <si>
    <t>11.6 INSTALACIONES DE CORRIENTES DÉBILES</t>
  </si>
  <si>
    <t>11.6.2</t>
  </si>
  <si>
    <t>11.6.2 SISTEMA DE LLAMADO DE ENFERMERÍA</t>
  </si>
  <si>
    <t>11.6.2.1</t>
  </si>
  <si>
    <t>ESTACION DE ENFERMERIA</t>
  </si>
  <si>
    <t>11.6.2.2</t>
  </si>
  <si>
    <t>11.6.2.3</t>
  </si>
  <si>
    <t>LAMPARA DE PASILLO</t>
  </si>
  <si>
    <t>11.6.2.4</t>
  </si>
  <si>
    <t>11.6.2.5</t>
  </si>
  <si>
    <t>PERA DE LLAMADO</t>
  </si>
  <si>
    <t>11.6.2.6</t>
  </si>
  <si>
    <t>11.6.2.7</t>
  </si>
  <si>
    <t>TERMINAL DE BAÑO</t>
  </si>
  <si>
    <t>11.6.2.8</t>
  </si>
  <si>
    <t>LICENCIA DE USUARIO</t>
  </si>
  <si>
    <t>11.6.2.9</t>
  </si>
  <si>
    <t>FUENTE DE ALIMENTACION Y VOIP SERVER</t>
  </si>
  <si>
    <t>11.6.2.10</t>
  </si>
  <si>
    <t>SERVIDOR SQL CENTRALIZADO 1U</t>
  </si>
  <si>
    <t>11.6.2.11</t>
  </si>
  <si>
    <t>EXPLORADOR DE HISTORICOS IP</t>
  </si>
  <si>
    <t>11.6.2.12</t>
  </si>
  <si>
    <t>MANTENCION DEL SISTEMA 1 AÑO</t>
  </si>
  <si>
    <t>11.6.3</t>
  </si>
  <si>
    <t>11.6.3 CONTROL DE ERRANTES</t>
  </si>
  <si>
    <t>11.6.3.1</t>
  </si>
  <si>
    <t>CENTRAL ERRANTES CON SIRENA OFFLINE</t>
  </si>
  <si>
    <t>11.6.3.2</t>
  </si>
  <si>
    <t>ACTIVADOR ERRANTES 3 METROS</t>
  </si>
  <si>
    <t>11.6.3.3</t>
  </si>
  <si>
    <t>TERMINAL DE ENTRADA CON VOZ</t>
  </si>
  <si>
    <t>11.6.3.4</t>
  </si>
  <si>
    <t>LECTOR TARJETAS RFID</t>
  </si>
  <si>
    <t>11.6.3.5</t>
  </si>
  <si>
    <t>TAG ACTIVO TIPO PULSERA SIN BRAZALETE</t>
  </si>
  <si>
    <t>11.6.3.6</t>
  </si>
  <si>
    <t>BRAZALETE MULTIUSOS</t>
  </si>
  <si>
    <t>11.6.3.7</t>
  </si>
  <si>
    <t>CONJUNTO 10 UNIDADES DE CLAVO Y RETENEDOR DE PULSERA</t>
  </si>
  <si>
    <t>11.6.3.8</t>
  </si>
  <si>
    <t>DESACOPLADOR PARA RETENEDORES DE PULSERAS</t>
  </si>
  <si>
    <t>11.6.3.9</t>
  </si>
  <si>
    <t>11.6.3.10</t>
  </si>
  <si>
    <t>MANTENCIÓN DEL SISTEMA 1 AÑO</t>
  </si>
  <si>
    <t>11.6.3.11</t>
  </si>
  <si>
    <t>CANTIDAD</t>
  </si>
  <si>
    <t>NETO</t>
  </si>
  <si>
    <t>Gabinete Llamado de enfermera</t>
  </si>
  <si>
    <t>Responder 8-pin SL Connector (100)</t>
  </si>
  <si>
    <t>CAJAS DE CABLE 6A</t>
  </si>
  <si>
    <t>CAJAS CABLE DE PODER AWG</t>
  </si>
  <si>
    <t>TERMINAL DE CAMA CON VOZ (AL VALOR SE SUMAR MODULOS BAJO A ESTE ITEMS)</t>
  </si>
  <si>
    <t>LAMPARA DE PASILLO (AL VALOR SE SUMAR MODULOS BAJO A ESTE ITEMS)</t>
  </si>
  <si>
    <t>TIRADOR DE BAÑO (AL VALOR SE SUMAR MODULOS BAJO A ESTE ITEMS)</t>
  </si>
  <si>
    <t>ALARMA DE PARO Y PULSADOR COD AZUL (AL VALOR SE SUMAR MODULOS BAJO A ESTE ITEMS)</t>
  </si>
  <si>
    <t>PRECIO UNITARIO (CLP$)</t>
  </si>
  <si>
    <t>TOTAL (CLP$)</t>
  </si>
  <si>
    <t xml:space="preserve">LABOR COSTOS DE INSTALACION </t>
  </si>
  <si>
    <t>MISCELANEOS</t>
  </si>
  <si>
    <t>cable rj11</t>
  </si>
  <si>
    <t>cajas de cable awg</t>
  </si>
  <si>
    <t>cajas de cable utp</t>
  </si>
  <si>
    <t>MANO DE OBRA</t>
  </si>
  <si>
    <t>Main System Controller</t>
  </si>
  <si>
    <t>R5K 8-Port Switch</t>
  </si>
  <si>
    <t>Fiber Adapter Modules</t>
  </si>
  <si>
    <t>Data Converter for K-Bus to L-Net</t>
  </si>
  <si>
    <t>Termination Board</t>
  </si>
  <si>
    <t>Paging Amplifier</t>
  </si>
  <si>
    <t>% de descuento Rauland 5000</t>
  </si>
  <si>
    <t>% de descuento Elpas</t>
  </si>
  <si>
    <t>25% descuento</t>
  </si>
  <si>
    <t>CONSOLA</t>
  </si>
  <si>
    <t>PRECIO UNITARIO (USD$)</t>
  </si>
  <si>
    <t>TOTAL (USD$)</t>
  </si>
  <si>
    <t>MODULO CON AUDIO</t>
  </si>
  <si>
    <t>R4KSAR</t>
  </si>
  <si>
    <t>QP</t>
  </si>
  <si>
    <t>LP1</t>
  </si>
  <si>
    <t>LP2</t>
  </si>
  <si>
    <t>LP3</t>
  </si>
  <si>
    <t>modulo tirador</t>
  </si>
  <si>
    <t>qp</t>
  </si>
  <si>
    <t>ccdin</t>
  </si>
  <si>
    <t>Codigo Azul</t>
  </si>
  <si>
    <t>Boton</t>
  </si>
  <si>
    <t>acrilico</t>
  </si>
  <si>
    <t>controlador de 6</t>
  </si>
  <si>
    <t>controlador de 12</t>
  </si>
  <si>
    <t>l1</t>
  </si>
  <si>
    <t>l2</t>
  </si>
  <si>
    <t>l3</t>
  </si>
  <si>
    <t>f1</t>
  </si>
  <si>
    <t>f2</t>
  </si>
  <si>
    <t>servidor</t>
  </si>
  <si>
    <t>ok</t>
  </si>
  <si>
    <t>5-ELC10433-3</t>
  </si>
  <si>
    <t>ELPAS Local Controller, Wall, 433MHz, I/O (7/5)</t>
  </si>
  <si>
    <t>5-ALC01021-0</t>
  </si>
  <si>
    <t>LF Bus Beacon, No RF, 4.5M, 125kHz</t>
  </si>
  <si>
    <t>5-WTD41002-0</t>
  </si>
  <si>
    <t>Elpas Bracelet with Security Band, Solid Face</t>
  </si>
  <si>
    <t>5-WTD09009</t>
  </si>
  <si>
    <t>Band Lock Key (Pack of 5) **Required for 5-WTD41102-0 and 5-WTD09012</t>
  </si>
  <si>
    <t>24 voltios estrobo/</t>
  </si>
  <si>
    <t>Part Number</t>
  </si>
  <si>
    <t>Description</t>
  </si>
  <si>
    <t>Price</t>
  </si>
  <si>
    <t>Quantity</t>
  </si>
  <si>
    <t>Subtotal</t>
  </si>
  <si>
    <t>5-ERS04101</t>
  </si>
  <si>
    <t>EIRIS Base Package for Elpas, 3 Client, 10 Elpas Reader License</t>
  </si>
  <si>
    <t>$1,459.00</t>
  </si>
  <si>
    <t>5-ERS04201</t>
  </si>
  <si>
    <t>Incremental License for additional 16 Elpas Readers</t>
  </si>
  <si>
    <t>$619.00</t>
  </si>
  <si>
    <t>$3,095.00</t>
  </si>
  <si>
    <t>5-ERS04301</t>
  </si>
  <si>
    <t>EV2 BabyMatch / Baby Management User Interface</t>
  </si>
  <si>
    <t>$2,667.00</t>
  </si>
  <si>
    <t>5-ERS08035</t>
  </si>
  <si>
    <t>Tag Match Extension for Tag Escort and Match Tests</t>
  </si>
  <si>
    <t>$1,700.00</t>
  </si>
  <si>
    <t xml:space="preserve">5-ERS04150 </t>
  </si>
  <si>
    <t>3rd Party Nurse Call Integration</t>
  </si>
  <si>
    <t>$1,800.00</t>
  </si>
  <si>
    <t>$85.00</t>
  </si>
  <si>
    <t>$34,000.00</t>
  </si>
  <si>
    <t>$12.00</t>
  </si>
  <si>
    <t>$120.00</t>
  </si>
  <si>
    <t>5-PBA00433-L</t>
  </si>
  <si>
    <t>Elpas Badge w/IR, 60 sec RF</t>
  </si>
  <si>
    <t>$59.00</t>
  </si>
  <si>
    <t>$2,655.00</t>
  </si>
  <si>
    <t>5-RFB10433-5</t>
  </si>
  <si>
    <t>RF Reader, BUS, 433MHz, Wall</t>
  </si>
  <si>
    <t>$279.00</t>
  </si>
  <si>
    <t>$6,696.00</t>
  </si>
  <si>
    <t>$482.00</t>
  </si>
  <si>
    <t>$5,784.00</t>
  </si>
  <si>
    <t>$215.00</t>
  </si>
  <si>
    <t>$10,320.00</t>
  </si>
  <si>
    <t>5-ERS01905-30P</t>
  </si>
  <si>
    <t>Reader Certified Cable w/ 2 RJ12 (6 pin) connectors 30 feet Plenum</t>
  </si>
  <si>
    <t>$25.00</t>
  </si>
  <si>
    <t>$2,100.00</t>
  </si>
  <si>
    <t>5-JBA10485</t>
  </si>
  <si>
    <t>RS-485 Junction Box, 4 RJ11 Ports</t>
  </si>
  <si>
    <t>$24.00</t>
  </si>
  <si>
    <t>$1,152.00</t>
  </si>
  <si>
    <t>sistema de rtls Pedro Pires</t>
  </si>
  <si>
    <t>cuenta  Ricardo</t>
  </si>
  <si>
    <t>Intercomunicador audio  2 puestas+ central</t>
  </si>
  <si>
    <t>Dartel</t>
  </si>
  <si>
    <t>lamparas estrobo + audio</t>
  </si>
  <si>
    <t>Artilec</t>
  </si>
  <si>
    <t>Intercomunicador audio  2 puerstas+ central</t>
  </si>
  <si>
    <t>bodega</t>
  </si>
  <si>
    <t>RF</t>
  </si>
  <si>
    <t>LF</t>
  </si>
  <si>
    <t>DARTEL</t>
  </si>
  <si>
    <t>NO</t>
  </si>
  <si>
    <t>Cuenta Ricardo a COMPRAR</t>
  </si>
  <si>
    <t>Sistema de RTLS Pedro Pires</t>
  </si>
  <si>
    <t>13 de ellos IP</t>
  </si>
  <si>
    <t>aprobado reunion 7/5/2019 ricardo /Carlos/ cristian</t>
  </si>
  <si>
    <t>RF(elc ip)</t>
  </si>
  <si>
    <t>free</t>
  </si>
  <si>
    <t>Elpas</t>
  </si>
  <si>
    <t>5-ALC01021-0 (LF)</t>
  </si>
  <si>
    <t>5-RFB10433-5 (RF)</t>
  </si>
  <si>
    <t>5-ELC10433-3 (RF ELC IP)</t>
  </si>
  <si>
    <t>aprobado 7/5/2019 ricardo y cristian carlos</t>
  </si>
  <si>
    <t>revisado por RC CY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</si>
</sst>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Border="0"/>
  </cellStyleXfs>
  <cellXfs count="132">
    <xf numFmtId="0" fontId="0" fillId="0" borderId="0" xfId="0"/>
    <xf numFmtId="164" fontId="2" fillId="0" borderId="1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9" fontId="2" fillId="0" borderId="1" xfId="3" applyFont="1" applyBorder="1" applyAlignment="1">
      <alignment vertical="center"/>
    </xf>
    <xf numFmtId="9" fontId="4" fillId="0" borderId="1" xfId="3" applyFont="1" applyBorder="1" applyAlignment="1">
      <alignment horizontal="left" vertical="center" indent="3"/>
    </xf>
    <xf numFmtId="42" fontId="2" fillId="0" borderId="5" xfId="2" applyFont="1" applyBorder="1" applyAlignment="1">
      <alignment vertical="top"/>
    </xf>
    <xf numFmtId="42" fontId="4" fillId="0" borderId="5" xfId="2" applyFont="1" applyBorder="1" applyAlignment="1">
      <alignment vertical="top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2" fontId="2" fillId="2" borderId="9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3" xfId="3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top"/>
    </xf>
    <xf numFmtId="43" fontId="2" fillId="0" borderId="2" xfId="1" applyFont="1" applyBorder="1" applyAlignment="1">
      <alignment horizontal="right" vertical="top"/>
    </xf>
    <xf numFmtId="164" fontId="2" fillId="0" borderId="3" xfId="1" applyNumberFormat="1" applyFont="1" applyBorder="1" applyAlignment="1">
      <alignment vertical="top"/>
    </xf>
    <xf numFmtId="42" fontId="2" fillId="0" borderId="9" xfId="2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3" fontId="2" fillId="0" borderId="4" xfId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/>
    </xf>
    <xf numFmtId="9" fontId="4" fillId="0" borderId="7" xfId="3" applyFont="1" applyBorder="1" applyAlignment="1">
      <alignment horizontal="left" vertical="center" indent="3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2" fontId="0" fillId="0" borderId="0" xfId="0" applyNumberFormat="1"/>
    <xf numFmtId="9" fontId="4" fillId="3" borderId="1" xfId="3" applyFont="1" applyFill="1" applyBorder="1" applyAlignment="1">
      <alignment horizontal="left" vertical="center" indent="3"/>
    </xf>
    <xf numFmtId="164" fontId="4" fillId="3" borderId="1" xfId="1" applyNumberFormat="1" applyFont="1" applyFill="1" applyBorder="1" applyAlignment="1">
      <alignment vertical="top"/>
    </xf>
    <xf numFmtId="9" fontId="0" fillId="0" borderId="0" xfId="0" applyNumberFormat="1"/>
    <xf numFmtId="42" fontId="0" fillId="0" borderId="0" xfId="2" applyFont="1"/>
    <xf numFmtId="9" fontId="0" fillId="0" borderId="0" xfId="3" applyFont="1"/>
    <xf numFmtId="9" fontId="4" fillId="3" borderId="7" xfId="3" applyFont="1" applyFill="1" applyBorder="1" applyAlignment="1">
      <alignment horizontal="left" vertical="center" indent="3"/>
    </xf>
    <xf numFmtId="42" fontId="4" fillId="3" borderId="5" xfId="2" applyFont="1" applyFill="1" applyBorder="1" applyAlignment="1">
      <alignment vertical="top"/>
    </xf>
    <xf numFmtId="41" fontId="0" fillId="0" borderId="0" xfId="5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42" fontId="2" fillId="2" borderId="17" xfId="2" applyFont="1" applyFill="1" applyBorder="1" applyAlignment="1">
      <alignment horizontal="center" vertical="center" wrapText="1"/>
    </xf>
    <xf numFmtId="42" fontId="0" fillId="0" borderId="12" xfId="0" applyNumberFormat="1" applyBorder="1"/>
    <xf numFmtId="49" fontId="2" fillId="0" borderId="1" xfId="0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1" fontId="4" fillId="0" borderId="1" xfId="5" applyFont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center" vertical="top"/>
    </xf>
    <xf numFmtId="41" fontId="4" fillId="3" borderId="1" xfId="5" applyFont="1" applyFill="1" applyBorder="1" applyAlignment="1">
      <alignment horizontal="right" vertical="top"/>
    </xf>
    <xf numFmtId="0" fontId="5" fillId="3" borderId="1" xfId="6" applyFont="1" applyFill="1" applyBorder="1" applyAlignment="1">
      <alignment horizontal="left" vertical="center" indent="3"/>
    </xf>
    <xf numFmtId="41" fontId="2" fillId="0" borderId="1" xfId="5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center" vertical="top"/>
    </xf>
    <xf numFmtId="43" fontId="2" fillId="0" borderId="3" xfId="1" applyFont="1" applyBorder="1" applyAlignment="1">
      <alignment horizontal="right" vertical="top"/>
    </xf>
    <xf numFmtId="0" fontId="4" fillId="0" borderId="4" xfId="0" applyFont="1" applyBorder="1" applyAlignment="1">
      <alignment vertical="center" wrapText="1"/>
    </xf>
    <xf numFmtId="49" fontId="4" fillId="3" borderId="7" xfId="0" applyNumberFormat="1" applyFont="1" applyFill="1" applyBorder="1" applyAlignment="1">
      <alignment horizontal="center" vertical="top"/>
    </xf>
    <xf numFmtId="41" fontId="4" fillId="3" borderId="7" xfId="5" applyFont="1" applyFill="1" applyBorder="1" applyAlignment="1">
      <alignment horizontal="right" vertical="top"/>
    </xf>
    <xf numFmtId="164" fontId="4" fillId="3" borderId="7" xfId="1" applyNumberFormat="1" applyFont="1" applyFill="1" applyBorder="1" applyAlignment="1">
      <alignment vertical="top"/>
    </xf>
    <xf numFmtId="42" fontId="4" fillId="3" borderId="8" xfId="2" applyFont="1" applyFill="1" applyBorder="1" applyAlignment="1">
      <alignment vertical="top"/>
    </xf>
    <xf numFmtId="9" fontId="2" fillId="0" borderId="1" xfId="3" applyFont="1" applyBorder="1" applyAlignment="1">
      <alignment horizontal="left" vertical="center" indent="3"/>
    </xf>
    <xf numFmtId="164" fontId="4" fillId="0" borderId="7" xfId="1" applyNumberFormat="1" applyFont="1" applyBorder="1" applyAlignment="1">
      <alignment vertical="top"/>
    </xf>
    <xf numFmtId="42" fontId="4" fillId="0" borderId="8" xfId="2" applyFont="1" applyBorder="1" applyAlignment="1">
      <alignment vertical="top"/>
    </xf>
    <xf numFmtId="41" fontId="4" fillId="0" borderId="4" xfId="5" applyFont="1" applyBorder="1" applyAlignment="1">
      <alignment horizontal="left" vertical="top"/>
    </xf>
    <xf numFmtId="41" fontId="4" fillId="0" borderId="6" xfId="5" applyFont="1" applyBorder="1" applyAlignment="1">
      <alignment horizontal="left" vertical="top"/>
    </xf>
    <xf numFmtId="0" fontId="0" fillId="2" borderId="0" xfId="0" applyFill="1"/>
    <xf numFmtId="0" fontId="4" fillId="2" borderId="4" xfId="0" applyFont="1" applyFill="1" applyBorder="1" applyAlignment="1">
      <alignment horizontal="center" vertical="center" wrapText="1"/>
    </xf>
    <xf numFmtId="9" fontId="4" fillId="2" borderId="1" xfId="3" applyFont="1" applyFill="1" applyBorder="1" applyAlignment="1">
      <alignment horizontal="left" vertical="center" indent="3"/>
    </xf>
    <xf numFmtId="49" fontId="4" fillId="2" borderId="1" xfId="0" applyNumberFormat="1" applyFont="1" applyFill="1" applyBorder="1" applyAlignment="1">
      <alignment horizontal="center" vertical="top"/>
    </xf>
    <xf numFmtId="41" fontId="4" fillId="2" borderId="1" xfId="5" applyFont="1" applyFill="1" applyBorder="1" applyAlignment="1">
      <alignment horizontal="right" vertical="top"/>
    </xf>
    <xf numFmtId="42" fontId="4" fillId="2" borderId="5" xfId="2" applyFont="1" applyFill="1" applyBorder="1" applyAlignment="1">
      <alignment vertical="top"/>
    </xf>
    <xf numFmtId="164" fontId="4" fillId="2" borderId="1" xfId="1" applyNumberFormat="1" applyFont="1" applyFill="1" applyBorder="1" applyAlignment="1">
      <alignment vertical="top"/>
    </xf>
    <xf numFmtId="42" fontId="0" fillId="2" borderId="0" xfId="0" applyNumberFormat="1" applyFill="1"/>
    <xf numFmtId="42" fontId="0" fillId="2" borderId="0" xfId="2" applyFont="1" applyFill="1"/>
    <xf numFmtId="41" fontId="0" fillId="2" borderId="0" xfId="5" applyFont="1" applyFill="1"/>
    <xf numFmtId="0" fontId="0" fillId="4" borderId="0" xfId="0" applyFill="1"/>
    <xf numFmtId="3" fontId="2" fillId="4" borderId="16" xfId="0" applyNumberFormat="1" applyFont="1" applyFill="1" applyBorder="1" applyAlignment="1">
      <alignment horizontal="center" vertical="center" wrapText="1"/>
    </xf>
    <xf numFmtId="43" fontId="2" fillId="4" borderId="3" xfId="1" applyFont="1" applyFill="1" applyBorder="1" applyAlignment="1">
      <alignment horizontal="right" vertical="top"/>
    </xf>
    <xf numFmtId="43" fontId="2" fillId="4" borderId="1" xfId="1" applyFont="1" applyFill="1" applyBorder="1" applyAlignment="1">
      <alignment horizontal="right" vertical="top"/>
    </xf>
    <xf numFmtId="41" fontId="4" fillId="4" borderId="1" xfId="5" applyFont="1" applyFill="1" applyBorder="1" applyAlignment="1">
      <alignment horizontal="right" vertical="top"/>
    </xf>
    <xf numFmtId="164" fontId="4" fillId="4" borderId="1" xfId="1" applyNumberFormat="1" applyFont="1" applyFill="1" applyBorder="1" applyAlignment="1">
      <alignment vertical="top"/>
    </xf>
    <xf numFmtId="42" fontId="4" fillId="4" borderId="5" xfId="2" applyFont="1" applyFill="1" applyBorder="1" applyAlignment="1">
      <alignment vertical="top"/>
    </xf>
    <xf numFmtId="41" fontId="2" fillId="4" borderId="1" xfId="5" applyFont="1" applyFill="1" applyBorder="1" applyAlignment="1">
      <alignment horizontal="right" vertical="top"/>
    </xf>
    <xf numFmtId="41" fontId="4" fillId="4" borderId="7" xfId="5" applyFont="1" applyFill="1" applyBorder="1" applyAlignment="1">
      <alignment horizontal="right" vertical="top"/>
    </xf>
    <xf numFmtId="42" fontId="6" fillId="5" borderId="0" xfId="0" applyNumberFormat="1" applyFont="1" applyFill="1"/>
    <xf numFmtId="9" fontId="6" fillId="5" borderId="0" xfId="3" applyFont="1" applyFill="1"/>
    <xf numFmtId="42" fontId="6" fillId="5" borderId="0" xfId="2" applyFont="1" applyFill="1"/>
    <xf numFmtId="43" fontId="0" fillId="0" borderId="0" xfId="1" applyFont="1"/>
    <xf numFmtId="0" fontId="7" fillId="0" borderId="1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9" xfId="0" applyFont="1" applyFill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4" fontId="0" fillId="0" borderId="0" xfId="0" applyNumberFormat="1"/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1" xfId="0" applyBorder="1"/>
    <xf numFmtId="0" fontId="7" fillId="0" borderId="1" xfId="0" applyFont="1" applyBorder="1" applyAlignment="1">
      <alignment vertic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8" fillId="8" borderId="14" xfId="0" applyFont="1" applyFill="1" applyBorder="1" applyAlignment="1">
      <alignment vertical="center"/>
    </xf>
    <xf numFmtId="0" fontId="8" fillId="8" borderId="20" xfId="0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9" fontId="4" fillId="10" borderId="1" xfId="3" applyFont="1" applyFill="1" applyBorder="1" applyAlignment="1">
      <alignment horizontal="left" vertical="center" indent="3"/>
    </xf>
    <xf numFmtId="0" fontId="7" fillId="11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right" vertical="center"/>
    </xf>
    <xf numFmtId="0" fontId="7" fillId="11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9" fontId="4" fillId="9" borderId="1" xfId="3" applyFont="1" applyFill="1" applyBorder="1" applyAlignment="1">
      <alignment horizontal="left" vertical="center" indent="3"/>
    </xf>
    <xf numFmtId="43" fontId="0" fillId="0" borderId="1" xfId="1" applyFont="1" applyBorder="1"/>
    <xf numFmtId="0" fontId="0" fillId="0" borderId="10" xfId="0" applyBorder="1"/>
    <xf numFmtId="41" fontId="4" fillId="0" borderId="21" xfId="5" applyFont="1" applyBorder="1" applyAlignment="1">
      <alignment vertical="top"/>
    </xf>
    <xf numFmtId="41" fontId="4" fillId="0" borderId="22" xfId="5" applyFont="1" applyBorder="1" applyAlignment="1">
      <alignment vertical="top"/>
    </xf>
    <xf numFmtId="0" fontId="0" fillId="2" borderId="0" xfId="0" applyFill="1" applyAlignment="1">
      <alignment horizontal="center"/>
    </xf>
    <xf numFmtId="41" fontId="4" fillId="0" borderId="1" xfId="5" applyFont="1" applyBorder="1" applyAlignment="1">
      <alignment horizontal="left" vertical="top"/>
    </xf>
    <xf numFmtId="0" fontId="7" fillId="6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3" fillId="0" borderId="1" xfId="5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9" borderId="1" xfId="0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center" vertical="center"/>
    </xf>
    <xf numFmtId="14" fontId="0" fillId="0" borderId="0" xfId="0" applyNumberFormat="1"/>
  </cellXfs>
  <cellStyles count="7">
    <cellStyle name="Millares" xfId="1" builtinId="3"/>
    <cellStyle name="Millares [0]" xfId="5" builtinId="6"/>
    <cellStyle name="Moneda [0]" xfId="2" builtinId="7"/>
    <cellStyle name="Normal" xfId="0" builtinId="0"/>
    <cellStyle name="Normal 6" xfId="6" xr:uid="{00000000-0005-0000-0000-000004000000}"/>
    <cellStyle name="Porcentaje" xfId="3" builtinId="5"/>
    <cellStyle name="Porcentaje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63"/>
  <sheetViews>
    <sheetView topLeftCell="C63" zoomScale="70" zoomScaleNormal="70" workbookViewId="0">
      <selection activeCell="D79" sqref="D79"/>
    </sheetView>
  </sheetViews>
  <sheetFormatPr baseColWidth="10" defaultRowHeight="15" x14ac:dyDescent="0.25"/>
  <cols>
    <col min="2" max="2" width="26.7109375" style="7" customWidth="1"/>
    <col min="3" max="3" width="75" customWidth="1"/>
    <col min="4" max="4" width="16.7109375" customWidth="1"/>
    <col min="5" max="5" width="67" customWidth="1"/>
    <col min="6" max="6" width="19" style="73" customWidth="1"/>
    <col min="7" max="7" width="21.85546875" style="73" bestFit="1" customWidth="1"/>
    <col min="8" max="8" width="22" bestFit="1" customWidth="1"/>
    <col min="9" max="9" width="22.140625" bestFit="1" customWidth="1"/>
    <col min="10" max="10" width="15.140625" customWidth="1"/>
    <col min="11" max="11" width="42.7109375" bestFit="1" customWidth="1"/>
    <col min="12" max="12" width="18.28515625" customWidth="1"/>
    <col min="13" max="13" width="14.140625" customWidth="1"/>
    <col min="14" max="14" width="20.5703125" customWidth="1"/>
    <col min="15" max="15" width="16.85546875" customWidth="1"/>
    <col min="17" max="17" width="17.28515625" customWidth="1"/>
    <col min="18" max="18" width="13" bestFit="1" customWidth="1"/>
  </cols>
  <sheetData>
    <row r="1" spans="2:18" ht="27.75" customHeight="1" x14ac:dyDescent="0.25">
      <c r="E1" t="s">
        <v>76</v>
      </c>
      <c r="H1" s="31">
        <v>0.45</v>
      </c>
    </row>
    <row r="2" spans="2:18" ht="27.75" customHeight="1" x14ac:dyDescent="0.25">
      <c r="E2" t="s">
        <v>77</v>
      </c>
      <c r="H2" s="31">
        <v>0.2</v>
      </c>
    </row>
    <row r="3" spans="2:18" ht="42.75" customHeight="1" thickBot="1" x14ac:dyDescent="0.3"/>
    <row r="4" spans="2:18" ht="86.25" customHeight="1" thickBot="1" x14ac:dyDescent="0.3">
      <c r="B4" s="37" t="s">
        <v>0</v>
      </c>
      <c r="C4" s="38" t="s">
        <v>1</v>
      </c>
      <c r="D4" s="38" t="s">
        <v>2</v>
      </c>
      <c r="E4" s="39" t="s">
        <v>52</v>
      </c>
      <c r="F4" s="74" t="s">
        <v>80</v>
      </c>
      <c r="G4" s="74" t="s">
        <v>81</v>
      </c>
      <c r="H4" s="40" t="s">
        <v>62</v>
      </c>
      <c r="I4" s="41" t="s">
        <v>63</v>
      </c>
    </row>
    <row r="5" spans="2:18" ht="15.75" customHeight="1" x14ac:dyDescent="0.25">
      <c r="B5" s="11" t="s">
        <v>5</v>
      </c>
      <c r="C5" s="12" t="s">
        <v>6</v>
      </c>
      <c r="D5" s="51"/>
      <c r="E5" s="52"/>
      <c r="F5" s="75"/>
      <c r="G5" s="75"/>
      <c r="H5" s="15"/>
      <c r="I5" s="16"/>
    </row>
    <row r="6" spans="2:18" ht="15.75" x14ac:dyDescent="0.25">
      <c r="B6" s="17" t="s">
        <v>7</v>
      </c>
      <c r="C6" s="3" t="s">
        <v>8</v>
      </c>
      <c r="D6" s="43" t="s">
        <v>3</v>
      </c>
      <c r="E6" s="44"/>
      <c r="F6" s="76"/>
      <c r="G6" s="76"/>
      <c r="H6" s="1"/>
      <c r="I6" s="5"/>
      <c r="O6" s="63"/>
      <c r="R6" s="63"/>
    </row>
    <row r="7" spans="2:18" s="63" customFormat="1" x14ac:dyDescent="0.25">
      <c r="B7" s="64" t="s">
        <v>9</v>
      </c>
      <c r="C7" s="65" t="s">
        <v>10</v>
      </c>
      <c r="D7" s="66" t="s">
        <v>4</v>
      </c>
      <c r="E7" s="67">
        <v>27</v>
      </c>
      <c r="F7" s="77"/>
      <c r="G7" s="77"/>
      <c r="H7" s="69">
        <f>F8*650</f>
        <v>1193400</v>
      </c>
      <c r="I7" s="68">
        <f>(E7*H7)+O7+R7</f>
        <v>47469716.749750376</v>
      </c>
      <c r="L7" s="70">
        <f>E7*H7</f>
        <v>32221800</v>
      </c>
      <c r="M7" s="83">
        <f>+L7/L$41</f>
        <v>0.16672909473852318</v>
      </c>
      <c r="N7" s="70">
        <f>M7*N$41</f>
        <v>5939659.8093584143</v>
      </c>
      <c r="O7" s="71">
        <v>5939659.8093584143</v>
      </c>
      <c r="Q7" s="70">
        <f>Q$41*M7</f>
        <v>9308256.9403919578</v>
      </c>
      <c r="R7" s="72">
        <v>9308256.9403919578</v>
      </c>
    </row>
    <row r="8" spans="2:18" x14ac:dyDescent="0.25">
      <c r="B8" s="20"/>
      <c r="C8" s="4" t="s">
        <v>79</v>
      </c>
      <c r="D8" s="45"/>
      <c r="E8" s="46">
        <v>27</v>
      </c>
      <c r="F8" s="78">
        <v>1836</v>
      </c>
      <c r="G8" s="79">
        <f>E8*F8</f>
        <v>49572</v>
      </c>
      <c r="H8" s="2" t="s">
        <v>102</v>
      </c>
      <c r="I8" s="6"/>
      <c r="L8" s="28"/>
      <c r="M8" s="83"/>
      <c r="N8" s="70"/>
      <c r="O8" s="32"/>
      <c r="Q8" s="28"/>
      <c r="R8" s="36"/>
    </row>
    <row r="9" spans="2:18" s="63" customFormat="1" x14ac:dyDescent="0.25">
      <c r="B9" s="64" t="s">
        <v>11</v>
      </c>
      <c r="C9" s="65" t="s">
        <v>58</v>
      </c>
      <c r="D9" s="66" t="s">
        <v>4</v>
      </c>
      <c r="E9" s="67">
        <v>389</v>
      </c>
      <c r="F9" s="77"/>
      <c r="G9" s="79">
        <f t="shared" ref="G9:G52" si="0">E9*F9</f>
        <v>0</v>
      </c>
      <c r="H9" s="69">
        <f>((F10+F11+F12+F13)-((F10+F11+F12+F13)*H1))*650</f>
        <v>106177.5</v>
      </c>
      <c r="I9" s="68">
        <f>(E9*H9)+O9+R9</f>
        <v>60848368.67358388</v>
      </c>
      <c r="L9" s="70">
        <f>E9*H9</f>
        <v>41303047.5</v>
      </c>
      <c r="M9" s="83">
        <f t="shared" ref="M9:M40" si="1">+L9/L$41</f>
        <v>0.21371927451654543</v>
      </c>
      <c r="N9" s="70">
        <f t="shared" ref="N9:N40" si="2">M9*N$41</f>
        <v>7613666.8727312423</v>
      </c>
      <c r="O9" s="71">
        <v>7613666.8727312423</v>
      </c>
      <c r="Q9" s="70">
        <f t="shared" ref="Q9:Q40" si="3">Q$41*M9</f>
        <v>11931654.300852643</v>
      </c>
      <c r="R9" s="72">
        <v>11931654.300852643</v>
      </c>
    </row>
    <row r="10" spans="2:18" x14ac:dyDescent="0.25">
      <c r="B10" s="20"/>
      <c r="C10" s="4" t="s">
        <v>82</v>
      </c>
      <c r="D10" s="45"/>
      <c r="E10" s="46">
        <v>389</v>
      </c>
      <c r="F10" s="77">
        <v>165</v>
      </c>
      <c r="G10" s="79">
        <f t="shared" si="0"/>
        <v>64185</v>
      </c>
      <c r="H10" s="2" t="s">
        <v>102</v>
      </c>
      <c r="I10" s="6"/>
      <c r="L10" s="28"/>
      <c r="M10" s="83"/>
      <c r="N10" s="70"/>
      <c r="O10" s="32"/>
      <c r="Q10" s="28"/>
      <c r="R10" s="36"/>
    </row>
    <row r="11" spans="2:18" x14ac:dyDescent="0.25">
      <c r="B11" s="20"/>
      <c r="C11" s="4" t="s">
        <v>83</v>
      </c>
      <c r="D11" s="45"/>
      <c r="E11" s="46">
        <v>389</v>
      </c>
      <c r="F11" s="77">
        <v>102</v>
      </c>
      <c r="G11" s="79">
        <f t="shared" si="0"/>
        <v>39678</v>
      </c>
      <c r="H11" s="2" t="s">
        <v>102</v>
      </c>
      <c r="I11" s="6"/>
      <c r="L11" s="28"/>
      <c r="M11" s="83"/>
      <c r="N11" s="70"/>
      <c r="O11" s="32"/>
      <c r="Q11" s="28"/>
      <c r="R11" s="36"/>
    </row>
    <row r="12" spans="2:18" x14ac:dyDescent="0.25">
      <c r="B12" s="20"/>
      <c r="C12" s="4" t="s">
        <v>84</v>
      </c>
      <c r="D12" s="45"/>
      <c r="E12" s="46">
        <v>389</v>
      </c>
      <c r="F12" s="77">
        <v>15</v>
      </c>
      <c r="G12" s="79">
        <f t="shared" si="0"/>
        <v>5835</v>
      </c>
      <c r="H12" s="2" t="s">
        <v>102</v>
      </c>
      <c r="I12" s="6"/>
      <c r="L12" s="28"/>
      <c r="M12" s="83"/>
      <c r="N12" s="70"/>
      <c r="O12" s="32"/>
      <c r="Q12" s="28"/>
      <c r="R12" s="36"/>
    </row>
    <row r="13" spans="2:18" x14ac:dyDescent="0.25">
      <c r="B13" s="20"/>
      <c r="C13" s="4" t="s">
        <v>84</v>
      </c>
      <c r="D13" s="45"/>
      <c r="E13" s="46">
        <v>389</v>
      </c>
      <c r="F13" s="77">
        <v>15</v>
      </c>
      <c r="G13" s="79">
        <f t="shared" si="0"/>
        <v>5835</v>
      </c>
      <c r="H13" s="2" t="s">
        <v>102</v>
      </c>
      <c r="I13" s="6"/>
      <c r="L13" s="28"/>
      <c r="M13" s="83"/>
      <c r="N13" s="70"/>
      <c r="O13" s="32"/>
      <c r="Q13" s="28"/>
      <c r="R13" s="36"/>
    </row>
    <row r="14" spans="2:18" s="63" customFormat="1" x14ac:dyDescent="0.25">
      <c r="B14" s="64" t="s">
        <v>12</v>
      </c>
      <c r="C14" s="65" t="s">
        <v>59</v>
      </c>
      <c r="D14" s="66" t="s">
        <v>4</v>
      </c>
      <c r="E14" s="67">
        <v>314</v>
      </c>
      <c r="F14" s="77"/>
      <c r="G14" s="79">
        <f t="shared" si="0"/>
        <v>0</v>
      </c>
      <c r="H14" s="69">
        <f>((F15+F16+F17)-((F15+F16+F17)*H1))*650</f>
        <v>252037.5</v>
      </c>
      <c r="I14" s="68">
        <f>(E14*H14)+O14+R14</f>
        <v>116590094.37365311</v>
      </c>
      <c r="L14" s="70">
        <f>E14*H14</f>
        <v>79139775</v>
      </c>
      <c r="M14" s="83">
        <f t="shared" si="1"/>
        <v>0.40950235689999964</v>
      </c>
      <c r="N14" s="70">
        <f t="shared" si="2"/>
        <v>14588363.80615508</v>
      </c>
      <c r="O14" s="71">
        <v>14588363.80615508</v>
      </c>
      <c r="Q14" s="70">
        <f t="shared" si="3"/>
        <v>22861955.567498028</v>
      </c>
      <c r="R14" s="72">
        <v>22861955.567498028</v>
      </c>
    </row>
    <row r="15" spans="2:18" x14ac:dyDescent="0.25">
      <c r="B15" s="20"/>
      <c r="C15" s="4" t="s">
        <v>85</v>
      </c>
      <c r="D15" s="45"/>
      <c r="E15" s="46">
        <v>54</v>
      </c>
      <c r="F15" s="77">
        <v>198</v>
      </c>
      <c r="G15" s="79">
        <f t="shared" si="0"/>
        <v>10692</v>
      </c>
      <c r="H15" s="2" t="s">
        <v>102</v>
      </c>
      <c r="I15" s="6"/>
      <c r="L15" s="28"/>
      <c r="M15" s="83"/>
      <c r="N15" s="70"/>
      <c r="O15" s="32"/>
      <c r="Q15" s="28"/>
      <c r="R15" s="36"/>
    </row>
    <row r="16" spans="2:18" x14ac:dyDescent="0.25">
      <c r="B16" s="20"/>
      <c r="C16" s="4" t="s">
        <v>86</v>
      </c>
      <c r="D16" s="45"/>
      <c r="E16" s="46">
        <v>100</v>
      </c>
      <c r="F16" s="77">
        <v>237</v>
      </c>
      <c r="G16" s="79">
        <f t="shared" si="0"/>
        <v>23700</v>
      </c>
      <c r="H16" s="2" t="s">
        <v>102</v>
      </c>
      <c r="I16" s="6"/>
      <c r="L16" s="28"/>
      <c r="M16" s="83"/>
      <c r="N16" s="70"/>
      <c r="O16" s="32"/>
      <c r="Q16" s="28"/>
      <c r="R16" s="36"/>
    </row>
    <row r="17" spans="2:18" x14ac:dyDescent="0.25">
      <c r="B17" s="20"/>
      <c r="C17" s="4" t="s">
        <v>87</v>
      </c>
      <c r="D17" s="45"/>
      <c r="E17" s="46">
        <v>160</v>
      </c>
      <c r="F17" s="77">
        <v>270</v>
      </c>
      <c r="G17" s="79">
        <f t="shared" si="0"/>
        <v>43200</v>
      </c>
      <c r="H17" s="2" t="s">
        <v>102</v>
      </c>
      <c r="I17" s="6"/>
      <c r="L17" s="28"/>
      <c r="M17" s="83"/>
      <c r="N17" s="70"/>
      <c r="O17" s="32"/>
      <c r="Q17" s="28"/>
      <c r="R17" s="36"/>
    </row>
    <row r="18" spans="2:18" s="63" customFormat="1" x14ac:dyDescent="0.25">
      <c r="B18" s="64" t="s">
        <v>14</v>
      </c>
      <c r="C18" s="65" t="s">
        <v>60</v>
      </c>
      <c r="D18" s="66" t="s">
        <v>4</v>
      </c>
      <c r="E18" s="67">
        <v>199</v>
      </c>
      <c r="F18" s="77"/>
      <c r="G18" s="79">
        <f t="shared" si="0"/>
        <v>0</v>
      </c>
      <c r="H18" s="69">
        <f>((F19+F20)-((93+15)*H1))*650</f>
        <v>38610</v>
      </c>
      <c r="I18" s="68">
        <f>(E18*H18)+O18+R18</f>
        <v>11319303.917778164</v>
      </c>
      <c r="L18" s="70">
        <f>E18*H18</f>
        <v>7683390</v>
      </c>
      <c r="M18" s="83">
        <f t="shared" si="1"/>
        <v>3.9757079344512773E-2</v>
      </c>
      <c r="N18" s="70">
        <f t="shared" si="2"/>
        <v>1416330.6451727198</v>
      </c>
      <c r="O18" s="71">
        <v>1416330.6451727198</v>
      </c>
      <c r="Q18" s="70">
        <f t="shared" si="3"/>
        <v>2219583.2726054462</v>
      </c>
      <c r="R18" s="72">
        <v>2219583.2726054462</v>
      </c>
    </row>
    <row r="19" spans="2:18" x14ac:dyDescent="0.25">
      <c r="B19" s="20"/>
      <c r="C19" s="4" t="s">
        <v>88</v>
      </c>
      <c r="D19" s="45"/>
      <c r="E19" s="46">
        <v>199</v>
      </c>
      <c r="F19" s="77">
        <v>93</v>
      </c>
      <c r="G19" s="79">
        <f t="shared" si="0"/>
        <v>18507</v>
      </c>
      <c r="H19" s="2" t="s">
        <v>102</v>
      </c>
      <c r="I19" s="6"/>
      <c r="L19" s="28"/>
      <c r="M19" s="83"/>
      <c r="N19" s="70"/>
      <c r="O19" s="32"/>
      <c r="Q19" s="28"/>
      <c r="R19" s="36"/>
    </row>
    <row r="20" spans="2:18" x14ac:dyDescent="0.25">
      <c r="B20" s="20"/>
      <c r="C20" s="4" t="s">
        <v>89</v>
      </c>
      <c r="D20" s="45"/>
      <c r="E20" s="46">
        <v>199</v>
      </c>
      <c r="F20" s="77">
        <v>15</v>
      </c>
      <c r="G20" s="79">
        <f t="shared" si="0"/>
        <v>2985</v>
      </c>
      <c r="H20" s="2" t="s">
        <v>102</v>
      </c>
      <c r="I20" s="6"/>
      <c r="L20" s="28"/>
      <c r="M20" s="83"/>
      <c r="N20" s="70"/>
      <c r="O20" s="32"/>
      <c r="Q20" s="28"/>
      <c r="R20" s="36"/>
    </row>
    <row r="21" spans="2:18" s="63" customFormat="1" x14ac:dyDescent="0.25">
      <c r="B21" s="64" t="s">
        <v>15</v>
      </c>
      <c r="C21" s="65" t="s">
        <v>16</v>
      </c>
      <c r="D21" s="66" t="s">
        <v>4</v>
      </c>
      <c r="E21" s="67">
        <v>389</v>
      </c>
      <c r="F21" s="77"/>
      <c r="G21" s="79">
        <f t="shared" si="0"/>
        <v>0</v>
      </c>
      <c r="H21" s="69">
        <f>(F22-(F22*H1))*650</f>
        <v>19662.5</v>
      </c>
      <c r="I21" s="68">
        <f>(E21*H21)+O21+R21</f>
        <v>11268216.421034053</v>
      </c>
      <c r="L21" s="70">
        <f>E21*H21</f>
        <v>7648712.5</v>
      </c>
      <c r="M21" s="83">
        <f t="shared" si="1"/>
        <v>3.9577643428989895E-2</v>
      </c>
      <c r="N21" s="70">
        <f t="shared" si="2"/>
        <v>1409938.3097650448</v>
      </c>
      <c r="O21" s="71">
        <v>1409938.3097650448</v>
      </c>
      <c r="Q21" s="70">
        <f t="shared" si="3"/>
        <v>2209565.6112690079</v>
      </c>
      <c r="R21" s="72">
        <v>2209565.6112690079</v>
      </c>
    </row>
    <row r="22" spans="2:18" x14ac:dyDescent="0.25">
      <c r="B22" s="20"/>
      <c r="C22" s="4" t="s">
        <v>90</v>
      </c>
      <c r="D22" s="45"/>
      <c r="E22" s="46">
        <v>389</v>
      </c>
      <c r="F22" s="77">
        <v>55</v>
      </c>
      <c r="G22" s="79">
        <f t="shared" si="0"/>
        <v>21395</v>
      </c>
      <c r="H22" s="2" t="s">
        <v>102</v>
      </c>
      <c r="I22" s="6"/>
      <c r="L22" s="28"/>
      <c r="M22" s="83"/>
      <c r="N22" s="70"/>
      <c r="O22" s="32"/>
      <c r="Q22" s="28"/>
      <c r="R22" s="36"/>
    </row>
    <row r="23" spans="2:18" s="63" customFormat="1" x14ac:dyDescent="0.25">
      <c r="B23" s="64" t="s">
        <v>17</v>
      </c>
      <c r="C23" s="65" t="s">
        <v>61</v>
      </c>
      <c r="D23" s="66" t="s">
        <v>4</v>
      </c>
      <c r="E23" s="67">
        <v>106</v>
      </c>
      <c r="F23" s="77"/>
      <c r="G23" s="79">
        <f t="shared" si="0"/>
        <v>0</v>
      </c>
      <c r="H23" s="69">
        <f>((F24+F25+F26)-((F24+F25+F26)*H1))*650</f>
        <v>64350</v>
      </c>
      <c r="I23" s="68">
        <f>(E23*H23)+O23+R23</f>
        <v>10048963.277089495</v>
      </c>
      <c r="L23" s="70">
        <f>E23*H23</f>
        <v>6821100</v>
      </c>
      <c r="M23" s="83">
        <f t="shared" si="1"/>
        <v>3.5295229568830438E-2</v>
      </c>
      <c r="N23" s="70">
        <f t="shared" si="2"/>
        <v>1257378.9647262003</v>
      </c>
      <c r="O23" s="71">
        <v>1257378.9647262003</v>
      </c>
      <c r="Q23" s="70">
        <f t="shared" si="3"/>
        <v>1970484.3123632942</v>
      </c>
      <c r="R23" s="72">
        <v>1970484.3123632942</v>
      </c>
    </row>
    <row r="24" spans="2:18" x14ac:dyDescent="0.25">
      <c r="B24" s="20"/>
      <c r="C24" s="4" t="s">
        <v>91</v>
      </c>
      <c r="D24" s="45"/>
      <c r="E24" s="46">
        <v>106</v>
      </c>
      <c r="F24" s="77">
        <v>102</v>
      </c>
      <c r="G24" s="79">
        <f t="shared" si="0"/>
        <v>10812</v>
      </c>
      <c r="H24" s="2" t="s">
        <v>102</v>
      </c>
      <c r="I24" s="6"/>
      <c r="L24" s="28"/>
      <c r="M24" s="83"/>
      <c r="N24" s="70"/>
      <c r="O24" s="32"/>
      <c r="Q24" s="28"/>
      <c r="R24" s="36"/>
    </row>
    <row r="25" spans="2:18" x14ac:dyDescent="0.25">
      <c r="B25" s="20"/>
      <c r="C25" s="4" t="s">
        <v>92</v>
      </c>
      <c r="D25" s="45"/>
      <c r="E25" s="46">
        <v>106</v>
      </c>
      <c r="F25" s="77">
        <v>15</v>
      </c>
      <c r="G25" s="79">
        <f t="shared" si="0"/>
        <v>1590</v>
      </c>
      <c r="H25" s="2" t="s">
        <v>102</v>
      </c>
      <c r="I25" s="6"/>
      <c r="L25" s="28"/>
      <c r="M25" s="83"/>
      <c r="N25" s="70"/>
      <c r="O25" s="32"/>
      <c r="Q25" s="28"/>
      <c r="R25" s="36"/>
    </row>
    <row r="26" spans="2:18" x14ac:dyDescent="0.25">
      <c r="B26" s="20"/>
      <c r="C26" s="4" t="s">
        <v>93</v>
      </c>
      <c r="D26" s="45"/>
      <c r="E26" s="46">
        <v>106</v>
      </c>
      <c r="F26" s="77">
        <v>63</v>
      </c>
      <c r="G26" s="79">
        <f t="shared" si="0"/>
        <v>6678</v>
      </c>
      <c r="H26" s="2" t="s">
        <v>102</v>
      </c>
      <c r="I26" s="6"/>
      <c r="L26" s="28"/>
      <c r="M26" s="83"/>
      <c r="N26" s="70"/>
      <c r="O26" s="32"/>
      <c r="Q26" s="28"/>
      <c r="R26" s="36"/>
    </row>
    <row r="27" spans="2:18" s="63" customFormat="1" x14ac:dyDescent="0.25">
      <c r="B27" s="64" t="s">
        <v>18</v>
      </c>
      <c r="C27" s="65" t="s">
        <v>19</v>
      </c>
      <c r="D27" s="66" t="s">
        <v>4</v>
      </c>
      <c r="E27" s="67">
        <v>8</v>
      </c>
      <c r="F27" s="77"/>
      <c r="G27" s="79">
        <f t="shared" si="0"/>
        <v>0</v>
      </c>
      <c r="H27" s="69">
        <f>((((F28*E28)+(F29*E29))/8)-(((G28+G29)/8)*H1))*650</f>
        <v>108456.56249999999</v>
      </c>
      <c r="I27" s="68">
        <f>(E27*H27)+O27+R27</f>
        <v>1278240.7690511635</v>
      </c>
      <c r="L27" s="70">
        <f>E27*H27</f>
        <v>867652.49999999988</v>
      </c>
      <c r="M27" s="83">
        <f t="shared" si="1"/>
        <v>4.489597597670412E-3</v>
      </c>
      <c r="N27" s="70">
        <f t="shared" si="2"/>
        <v>159940.18592193333</v>
      </c>
      <c r="O27" s="71">
        <v>159940.18592193333</v>
      </c>
      <c r="Q27" s="70">
        <f t="shared" si="3"/>
        <v>250648.0831292303</v>
      </c>
      <c r="R27" s="72">
        <v>250648.0831292303</v>
      </c>
    </row>
    <row r="28" spans="2:18" x14ac:dyDescent="0.25">
      <c r="B28" s="20"/>
      <c r="C28" s="4" t="s">
        <v>94</v>
      </c>
      <c r="D28" s="45"/>
      <c r="E28" s="46">
        <v>5</v>
      </c>
      <c r="F28" s="77">
        <v>264</v>
      </c>
      <c r="G28" s="79">
        <f t="shared" si="0"/>
        <v>1320</v>
      </c>
      <c r="H28" s="2" t="s">
        <v>102</v>
      </c>
      <c r="I28" s="6"/>
      <c r="L28" s="28"/>
      <c r="M28" s="83"/>
      <c r="N28" s="70"/>
      <c r="O28" s="32"/>
      <c r="Q28" s="28"/>
      <c r="R28" s="36"/>
    </row>
    <row r="29" spans="2:18" x14ac:dyDescent="0.25">
      <c r="B29" s="20"/>
      <c r="C29" s="4" t="s">
        <v>95</v>
      </c>
      <c r="D29" s="45"/>
      <c r="E29" s="46">
        <v>3</v>
      </c>
      <c r="F29" s="77">
        <v>369</v>
      </c>
      <c r="G29" s="79">
        <f t="shared" si="0"/>
        <v>1107</v>
      </c>
      <c r="H29" s="2" t="s">
        <v>102</v>
      </c>
      <c r="I29" s="6"/>
      <c r="L29" s="28"/>
      <c r="M29" s="83"/>
      <c r="N29" s="70"/>
      <c r="O29" s="32"/>
      <c r="Q29" s="28"/>
      <c r="R29" s="36"/>
    </row>
    <row r="30" spans="2:18" s="63" customFormat="1" x14ac:dyDescent="0.25">
      <c r="B30" s="64" t="s">
        <v>20</v>
      </c>
      <c r="C30" s="65" t="s">
        <v>21</v>
      </c>
      <c r="D30" s="66" t="s">
        <v>4</v>
      </c>
      <c r="E30" s="67">
        <v>1</v>
      </c>
      <c r="F30" s="77"/>
      <c r="G30" s="79">
        <f t="shared" si="0"/>
        <v>0</v>
      </c>
      <c r="H30" s="69">
        <f>(G31+G32+G33)*650</f>
        <v>11895000</v>
      </c>
      <c r="I30" s="68">
        <f>(E30*H30)-((E30*H30)*25%)</f>
        <v>8921250</v>
      </c>
      <c r="J30" s="63" t="s">
        <v>78</v>
      </c>
      <c r="L30" s="70"/>
      <c r="M30" s="83">
        <f t="shared" si="1"/>
        <v>0</v>
      </c>
      <c r="N30" s="70"/>
      <c r="O30" s="71"/>
      <c r="Q30" s="70">
        <f t="shared" si="3"/>
        <v>0</v>
      </c>
      <c r="R30" s="72">
        <v>0</v>
      </c>
    </row>
    <row r="31" spans="2:18" x14ac:dyDescent="0.25">
      <c r="B31" s="20"/>
      <c r="C31" s="4" t="s">
        <v>96</v>
      </c>
      <c r="D31" s="45"/>
      <c r="E31" s="46">
        <v>1</v>
      </c>
      <c r="F31" s="77">
        <v>9000</v>
      </c>
      <c r="G31" s="79">
        <f t="shared" si="0"/>
        <v>9000</v>
      </c>
      <c r="H31" s="2" t="s">
        <v>102</v>
      </c>
      <c r="I31" s="6"/>
      <c r="L31" s="28"/>
      <c r="M31" s="83"/>
      <c r="N31" s="70"/>
      <c r="O31" s="32"/>
      <c r="Q31" s="28"/>
      <c r="R31" s="36"/>
    </row>
    <row r="32" spans="2:18" x14ac:dyDescent="0.25">
      <c r="B32" s="20"/>
      <c r="C32" s="4" t="s">
        <v>97</v>
      </c>
      <c r="D32" s="45"/>
      <c r="E32" s="46">
        <v>1</v>
      </c>
      <c r="F32" s="77">
        <v>5175</v>
      </c>
      <c r="G32" s="79">
        <f t="shared" si="0"/>
        <v>5175</v>
      </c>
      <c r="H32" s="2" t="s">
        <v>102</v>
      </c>
      <c r="I32" s="6"/>
      <c r="L32" s="28"/>
      <c r="M32" s="83"/>
      <c r="N32" s="70"/>
      <c r="O32" s="32"/>
      <c r="Q32" s="28"/>
      <c r="R32" s="36"/>
    </row>
    <row r="33" spans="2:18" x14ac:dyDescent="0.25">
      <c r="B33" s="20"/>
      <c r="C33" s="4" t="s">
        <v>98</v>
      </c>
      <c r="D33" s="45"/>
      <c r="E33" s="46">
        <v>1</v>
      </c>
      <c r="F33" s="77">
        <v>4125</v>
      </c>
      <c r="G33" s="79">
        <f t="shared" si="0"/>
        <v>4125</v>
      </c>
      <c r="H33" s="2" t="s">
        <v>102</v>
      </c>
      <c r="I33" s="6"/>
      <c r="L33" s="28"/>
      <c r="M33" s="83"/>
      <c r="N33" s="70"/>
      <c r="O33" s="32"/>
      <c r="Q33" s="28"/>
      <c r="R33" s="36"/>
    </row>
    <row r="34" spans="2:18" s="63" customFormat="1" x14ac:dyDescent="0.25">
      <c r="B34" s="64" t="s">
        <v>22</v>
      </c>
      <c r="C34" s="65" t="s">
        <v>23</v>
      </c>
      <c r="D34" s="66" t="s">
        <v>4</v>
      </c>
      <c r="E34" s="67">
        <v>30</v>
      </c>
      <c r="F34" s="77"/>
      <c r="G34" s="79">
        <f t="shared" si="0"/>
        <v>0</v>
      </c>
      <c r="H34" s="69">
        <f>((((G35+G36))/30)-(((G35+G36)/30)*H1))*650</f>
        <v>330401.5</v>
      </c>
      <c r="I34" s="68">
        <f>(E34*H34)+O34+R34</f>
        <v>14602597.265229734</v>
      </c>
      <c r="L34" s="70">
        <f>E34*H34</f>
        <v>9912045</v>
      </c>
      <c r="M34" s="83">
        <f t="shared" si="1"/>
        <v>5.128907416275643E-2</v>
      </c>
      <c r="N34" s="70">
        <f t="shared" si="2"/>
        <v>1827153.5207546451</v>
      </c>
      <c r="O34" s="71">
        <v>1827153.5207546451</v>
      </c>
      <c r="Q34" s="70">
        <f t="shared" si="3"/>
        <v>2863398.7444750885</v>
      </c>
      <c r="R34" s="72">
        <v>2863398.7444750885</v>
      </c>
    </row>
    <row r="35" spans="2:18" x14ac:dyDescent="0.25">
      <c r="B35" s="20"/>
      <c r="C35" s="4" t="s">
        <v>99</v>
      </c>
      <c r="D35" s="45"/>
      <c r="E35" s="46">
        <v>22</v>
      </c>
      <c r="F35" s="77">
        <v>933</v>
      </c>
      <c r="G35" s="79">
        <f t="shared" si="0"/>
        <v>20526</v>
      </c>
      <c r="H35" s="2" t="s">
        <v>102</v>
      </c>
      <c r="I35" s="6"/>
      <c r="L35" s="28"/>
      <c r="M35" s="83"/>
      <c r="N35" s="70"/>
      <c r="O35" s="32"/>
      <c r="Q35" s="28"/>
      <c r="R35" s="36"/>
    </row>
    <row r="36" spans="2:18" x14ac:dyDescent="0.25">
      <c r="B36" s="20"/>
      <c r="C36" s="4" t="s">
        <v>100</v>
      </c>
      <c r="D36" s="45"/>
      <c r="E36" s="46">
        <v>8</v>
      </c>
      <c r="F36" s="77">
        <v>900</v>
      </c>
      <c r="G36" s="79">
        <f t="shared" si="0"/>
        <v>7200</v>
      </c>
      <c r="H36" s="2" t="s">
        <v>102</v>
      </c>
      <c r="I36" s="6"/>
      <c r="L36" s="28"/>
      <c r="M36" s="83"/>
      <c r="N36" s="70"/>
      <c r="O36" s="32"/>
      <c r="Q36" s="28"/>
      <c r="R36" s="36"/>
    </row>
    <row r="37" spans="2:18" s="63" customFormat="1" x14ac:dyDescent="0.25">
      <c r="B37" s="64" t="s">
        <v>24</v>
      </c>
      <c r="C37" s="65" t="s">
        <v>25</v>
      </c>
      <c r="D37" s="66" t="s">
        <v>4</v>
      </c>
      <c r="E37" s="67">
        <v>1</v>
      </c>
      <c r="F37" s="77"/>
      <c r="G37" s="79">
        <f t="shared" si="0"/>
        <v>0</v>
      </c>
      <c r="H37" s="69">
        <v>7500000</v>
      </c>
      <c r="I37" s="68">
        <f>(E37*H37)+O37+R37</f>
        <v>11049130.576911526</v>
      </c>
      <c r="L37" s="70">
        <f>E37*H37</f>
        <v>7500000</v>
      </c>
      <c r="M37" s="83">
        <f t="shared" si="1"/>
        <v>3.8808142640663276E-2</v>
      </c>
      <c r="N37" s="70">
        <f t="shared" si="2"/>
        <v>1382525.1404387127</v>
      </c>
      <c r="O37" s="71">
        <v>1382525.1404387127</v>
      </c>
      <c r="Q37" s="70">
        <f t="shared" si="3"/>
        <v>2166605.4364728131</v>
      </c>
      <c r="R37" s="72">
        <v>2166605.4364728131</v>
      </c>
    </row>
    <row r="38" spans="2:18" x14ac:dyDescent="0.25">
      <c r="B38" s="20"/>
      <c r="C38" s="4" t="s">
        <v>101</v>
      </c>
      <c r="D38" s="45"/>
      <c r="E38" s="46">
        <v>1</v>
      </c>
      <c r="F38" s="77">
        <v>11538.46</v>
      </c>
      <c r="G38" s="79">
        <f t="shared" si="0"/>
        <v>11538.46</v>
      </c>
      <c r="H38" s="2"/>
      <c r="I38" s="6"/>
      <c r="L38" s="28"/>
      <c r="M38" s="83"/>
      <c r="N38" s="70"/>
      <c r="O38" s="32"/>
      <c r="Q38" s="28"/>
      <c r="R38" s="36"/>
    </row>
    <row r="39" spans="2:18" s="63" customFormat="1" x14ac:dyDescent="0.25">
      <c r="B39" s="64" t="s">
        <v>26</v>
      </c>
      <c r="C39" s="65" t="s">
        <v>27</v>
      </c>
      <c r="D39" s="66" t="s">
        <v>4</v>
      </c>
      <c r="E39" s="67">
        <v>14</v>
      </c>
      <c r="F39" s="67">
        <v>1</v>
      </c>
      <c r="G39" s="68">
        <f t="shared" si="0"/>
        <v>14</v>
      </c>
      <c r="H39" s="69">
        <v>1</v>
      </c>
      <c r="I39" s="68">
        <f>(E39*H39)+O39+R39</f>
        <v>20.625043743568181</v>
      </c>
      <c r="L39" s="70">
        <f>E39*H39</f>
        <v>14</v>
      </c>
      <c r="M39" s="83">
        <f t="shared" si="1"/>
        <v>7.244186626257145E-8</v>
      </c>
      <c r="N39" s="70">
        <f t="shared" si="2"/>
        <v>2.5807135954855966</v>
      </c>
      <c r="O39" s="71">
        <v>2.5807135954855966</v>
      </c>
      <c r="Q39" s="70">
        <f t="shared" si="3"/>
        <v>4.044330148082584</v>
      </c>
      <c r="R39" s="72">
        <v>4.044330148082584</v>
      </c>
    </row>
    <row r="40" spans="2:18" s="63" customFormat="1" x14ac:dyDescent="0.25">
      <c r="B40" s="64" t="s">
        <v>28</v>
      </c>
      <c r="C40" s="65" t="s">
        <v>29</v>
      </c>
      <c r="D40" s="66" t="s">
        <v>4</v>
      </c>
      <c r="E40" s="67">
        <v>1</v>
      </c>
      <c r="F40" s="67">
        <v>247.5</v>
      </c>
      <c r="G40" s="68">
        <f t="shared" si="0"/>
        <v>247.5</v>
      </c>
      <c r="H40" s="69">
        <f>(247.5*650)</f>
        <v>160875</v>
      </c>
      <c r="I40" s="68">
        <f>(E40*H40)+O40+R40</f>
        <v>237003.85087475221</v>
      </c>
      <c r="L40" s="70">
        <f>E40*H40</f>
        <v>160875</v>
      </c>
      <c r="M40" s="83">
        <f t="shared" si="1"/>
        <v>8.3243465964222729E-4</v>
      </c>
      <c r="N40" s="70">
        <f t="shared" si="2"/>
        <v>29655.164262410384</v>
      </c>
      <c r="O40" s="71">
        <v>29655.164262410384</v>
      </c>
      <c r="Q40" s="70">
        <f t="shared" si="3"/>
        <v>46473.686612341837</v>
      </c>
      <c r="R40" s="72">
        <v>46473.686612341837</v>
      </c>
    </row>
    <row r="41" spans="2:18" x14ac:dyDescent="0.25">
      <c r="B41" s="53"/>
      <c r="C41" s="29" t="s">
        <v>54</v>
      </c>
      <c r="D41" s="47"/>
      <c r="E41" s="48">
        <v>10</v>
      </c>
      <c r="F41" s="77">
        <v>400</v>
      </c>
      <c r="G41" s="79">
        <f t="shared" si="0"/>
        <v>4000</v>
      </c>
      <c r="H41" s="30">
        <f>F41*650</f>
        <v>260000</v>
      </c>
      <c r="I41" s="35">
        <f t="shared" ref="I41:I52" si="4">E41*H41</f>
        <v>2600000</v>
      </c>
      <c r="L41" s="82">
        <f>SUM(L7:L40)</f>
        <v>193258411.5</v>
      </c>
      <c r="M41" s="28"/>
      <c r="N41" s="84">
        <f>SUM(I41:I50)</f>
        <v>35624615</v>
      </c>
      <c r="Q41" s="82">
        <f>I51+I52</f>
        <v>55828630</v>
      </c>
      <c r="R41" s="36"/>
    </row>
    <row r="42" spans="2:18" x14ac:dyDescent="0.25">
      <c r="B42" s="53"/>
      <c r="C42" s="29" t="s">
        <v>55</v>
      </c>
      <c r="D42" s="47"/>
      <c r="E42" s="48">
        <v>30</v>
      </c>
      <c r="F42" s="77">
        <v>338</v>
      </c>
      <c r="G42" s="79">
        <f t="shared" si="0"/>
        <v>10140</v>
      </c>
      <c r="H42" s="30">
        <f>(F42-(F42*H1))*650</f>
        <v>120835</v>
      </c>
      <c r="I42" s="35">
        <f t="shared" si="4"/>
        <v>3625050</v>
      </c>
      <c r="L42" s="36"/>
      <c r="N42" s="36"/>
      <c r="Q42" s="36"/>
    </row>
    <row r="43" spans="2:18" x14ac:dyDescent="0.25">
      <c r="B43" s="53"/>
      <c r="C43" s="49" t="s">
        <v>70</v>
      </c>
      <c r="D43" s="47"/>
      <c r="E43" s="48">
        <v>4</v>
      </c>
      <c r="F43" s="77">
        <v>1803</v>
      </c>
      <c r="G43" s="79">
        <f t="shared" si="0"/>
        <v>7212</v>
      </c>
      <c r="H43" s="30">
        <f>(F43-(F43*H1))*650</f>
        <v>644572.5</v>
      </c>
      <c r="I43" s="35">
        <f t="shared" si="4"/>
        <v>2578290</v>
      </c>
    </row>
    <row r="44" spans="2:18" x14ac:dyDescent="0.25">
      <c r="B44" s="53"/>
      <c r="C44" s="49" t="s">
        <v>71</v>
      </c>
      <c r="D44" s="47"/>
      <c r="E44" s="48">
        <v>4</v>
      </c>
      <c r="F44" s="77">
        <v>1113</v>
      </c>
      <c r="G44" s="79">
        <f t="shared" si="0"/>
        <v>4452</v>
      </c>
      <c r="H44" s="30">
        <f>(F44-(F44*H1))*650</f>
        <v>397897.5</v>
      </c>
      <c r="I44" s="35">
        <f t="shared" si="4"/>
        <v>1591590</v>
      </c>
    </row>
    <row r="45" spans="2:18" x14ac:dyDescent="0.25">
      <c r="B45" s="53"/>
      <c r="C45" s="49" t="s">
        <v>72</v>
      </c>
      <c r="D45" s="47"/>
      <c r="E45" s="48">
        <v>2</v>
      </c>
      <c r="F45" s="77">
        <v>510</v>
      </c>
      <c r="G45" s="79">
        <f t="shared" si="0"/>
        <v>1020</v>
      </c>
      <c r="H45" s="30">
        <f>(F45-(F45*H1))*650</f>
        <v>182325</v>
      </c>
      <c r="I45" s="35">
        <f t="shared" si="4"/>
        <v>364650</v>
      </c>
      <c r="L45" s="28"/>
      <c r="M45" s="28"/>
    </row>
    <row r="46" spans="2:18" x14ac:dyDescent="0.25">
      <c r="B46" s="53"/>
      <c r="C46" s="49" t="s">
        <v>73</v>
      </c>
      <c r="D46" s="47"/>
      <c r="E46" s="48">
        <v>13</v>
      </c>
      <c r="F46" s="77">
        <v>543</v>
      </c>
      <c r="G46" s="79">
        <f t="shared" si="0"/>
        <v>7059</v>
      </c>
      <c r="H46" s="30">
        <f>(F46-(F46*H1))*650</f>
        <v>194122.49999999997</v>
      </c>
      <c r="I46" s="35">
        <f t="shared" si="4"/>
        <v>2523592.4999999995</v>
      </c>
    </row>
    <row r="47" spans="2:18" x14ac:dyDescent="0.25">
      <c r="B47" s="53"/>
      <c r="C47" s="49" t="s">
        <v>74</v>
      </c>
      <c r="D47" s="47"/>
      <c r="E47" s="48">
        <v>13</v>
      </c>
      <c r="F47" s="77">
        <v>183</v>
      </c>
      <c r="G47" s="79">
        <f t="shared" si="0"/>
        <v>2379</v>
      </c>
      <c r="H47" s="30">
        <f>(F47-(F47*H1))*650</f>
        <v>65422.499999999993</v>
      </c>
      <c r="I47" s="35">
        <f t="shared" si="4"/>
        <v>850492.49999999988</v>
      </c>
    </row>
    <row r="48" spans="2:18" x14ac:dyDescent="0.25">
      <c r="B48" s="53"/>
      <c r="C48" s="49" t="s">
        <v>75</v>
      </c>
      <c r="D48" s="47"/>
      <c r="E48" s="48">
        <v>13</v>
      </c>
      <c r="F48" s="77">
        <v>858</v>
      </c>
      <c r="G48" s="79">
        <f t="shared" si="0"/>
        <v>11154</v>
      </c>
      <c r="H48" s="30">
        <f>(F48-(F48*H3))*650</f>
        <v>557700</v>
      </c>
      <c r="I48" s="35">
        <f t="shared" si="4"/>
        <v>7250100</v>
      </c>
    </row>
    <row r="49" spans="2:18" x14ac:dyDescent="0.25">
      <c r="B49" s="53"/>
      <c r="C49" s="29" t="s">
        <v>56</v>
      </c>
      <c r="D49" s="47"/>
      <c r="E49" s="48">
        <v>96</v>
      </c>
      <c r="F49" s="77">
        <v>223</v>
      </c>
      <c r="G49" s="79">
        <f t="shared" si="0"/>
        <v>21408</v>
      </c>
      <c r="H49" s="30">
        <f>F49*650</f>
        <v>144950</v>
      </c>
      <c r="I49" s="35">
        <f t="shared" si="4"/>
        <v>13915200</v>
      </c>
    </row>
    <row r="50" spans="2:18" x14ac:dyDescent="0.25">
      <c r="B50" s="53"/>
      <c r="C50" s="29" t="s">
        <v>57</v>
      </c>
      <c r="D50" s="47"/>
      <c r="E50" s="48">
        <v>3</v>
      </c>
      <c r="F50" s="77">
        <v>167</v>
      </c>
      <c r="G50" s="79">
        <f t="shared" si="0"/>
        <v>501</v>
      </c>
      <c r="H50" s="30">
        <f>F50*650</f>
        <v>108550</v>
      </c>
      <c r="I50" s="35">
        <f t="shared" si="4"/>
        <v>325650</v>
      </c>
    </row>
    <row r="51" spans="2:18" x14ac:dyDescent="0.25">
      <c r="B51" s="53"/>
      <c r="C51" s="29" t="s">
        <v>64</v>
      </c>
      <c r="D51" s="47"/>
      <c r="E51" s="48">
        <v>1</v>
      </c>
      <c r="F51" s="77">
        <v>58561.5</v>
      </c>
      <c r="G51" s="79">
        <f t="shared" si="0"/>
        <v>58561.5</v>
      </c>
      <c r="H51" s="30">
        <f>F51*650</f>
        <v>38064975</v>
      </c>
      <c r="I51" s="35">
        <f t="shared" si="4"/>
        <v>38064975</v>
      </c>
    </row>
    <row r="52" spans="2:18" x14ac:dyDescent="0.25">
      <c r="B52" s="53"/>
      <c r="C52" s="29" t="s">
        <v>65</v>
      </c>
      <c r="D52" s="47"/>
      <c r="E52" s="48">
        <v>1</v>
      </c>
      <c r="F52" s="77">
        <v>27328.7</v>
      </c>
      <c r="G52" s="79">
        <f t="shared" si="0"/>
        <v>27328.7</v>
      </c>
      <c r="H52" s="30">
        <f>F52*650</f>
        <v>17763655</v>
      </c>
      <c r="I52" s="35">
        <f t="shared" si="4"/>
        <v>17763655</v>
      </c>
    </row>
    <row r="53" spans="2:18" ht="15.75" x14ac:dyDescent="0.25">
      <c r="B53" s="17" t="s">
        <v>30</v>
      </c>
      <c r="C53" s="3" t="s">
        <v>31</v>
      </c>
      <c r="D53" s="43" t="s">
        <v>3</v>
      </c>
      <c r="E53" s="50"/>
      <c r="F53" s="80"/>
      <c r="G53" s="80"/>
      <c r="H53" s="1"/>
      <c r="I53" s="6"/>
    </row>
    <row r="54" spans="2:18" ht="15.75" thickBot="1" x14ac:dyDescent="0.3">
      <c r="B54" s="20" t="s">
        <v>32</v>
      </c>
      <c r="C54" s="4" t="s">
        <v>33</v>
      </c>
      <c r="D54" s="45" t="s">
        <v>4</v>
      </c>
      <c r="E54" s="46">
        <v>26</v>
      </c>
      <c r="F54" s="77"/>
      <c r="G54" s="77"/>
      <c r="H54" s="2">
        <f>((200*1.2)*650)-(((200*1.2)*650)*H2)</f>
        <v>124800</v>
      </c>
      <c r="I54" s="6">
        <f t="shared" ref="I54:I64" si="5">E54*H54+O54+R54</f>
        <v>4600440.2314915108</v>
      </c>
      <c r="J54" s="86" t="s">
        <v>103</v>
      </c>
      <c r="K54" s="87" t="s">
        <v>104</v>
      </c>
      <c r="L54" s="32">
        <f t="shared" ref="L54:L64" si="6">E54*H54</f>
        <v>3244800</v>
      </c>
      <c r="M54" s="83">
        <f>L54/L$65</f>
        <v>8.8694065173081357E-2</v>
      </c>
      <c r="N54" s="28">
        <f>M54*N$65</f>
        <v>790673.88727325457</v>
      </c>
      <c r="O54" s="36">
        <v>790673.88727325457</v>
      </c>
      <c r="Q54" s="28">
        <f>M54*Q$65</f>
        <v>564966.34421825572</v>
      </c>
      <c r="R54" s="36">
        <v>564966.34421825572</v>
      </c>
    </row>
    <row r="55" spans="2:18" ht="15.75" thickBot="1" x14ac:dyDescent="0.3">
      <c r="B55" s="20" t="s">
        <v>34</v>
      </c>
      <c r="C55" s="4" t="s">
        <v>35</v>
      </c>
      <c r="D55" s="45" t="s">
        <v>4</v>
      </c>
      <c r="E55" s="46">
        <v>26</v>
      </c>
      <c r="F55" s="77"/>
      <c r="G55" s="77"/>
      <c r="H55" s="2">
        <f>((215*1.2)*650)- (((215*1.2)*650)*H2)</f>
        <v>134160</v>
      </c>
      <c r="I55" s="6">
        <f t="shared" si="5"/>
        <v>4945473.2488533733</v>
      </c>
      <c r="J55" s="88" t="s">
        <v>105</v>
      </c>
      <c r="K55" s="87" t="s">
        <v>106</v>
      </c>
      <c r="L55" s="32">
        <f t="shared" si="6"/>
        <v>3488160</v>
      </c>
      <c r="M55" s="83">
        <f t="shared" ref="M55:M64" si="7">L55/L$65</f>
        <v>9.5346120061062453E-2</v>
      </c>
      <c r="N55" s="28">
        <f t="shared" ref="N55:N64" si="8">M55*N$65</f>
        <v>849974.42881874857</v>
      </c>
      <c r="O55" s="36">
        <v>849974.42881874857</v>
      </c>
      <c r="Q55" s="28">
        <f t="shared" ref="Q55:Q64" si="9">M55*Q$65</f>
        <v>607338.82003462489</v>
      </c>
      <c r="R55" s="36">
        <v>607338.82003462489</v>
      </c>
    </row>
    <row r="56" spans="2:18" x14ac:dyDescent="0.25">
      <c r="B56" s="20" t="s">
        <v>36</v>
      </c>
      <c r="C56" s="4" t="s">
        <v>37</v>
      </c>
      <c r="D56" s="45" t="s">
        <v>4</v>
      </c>
      <c r="E56" s="46">
        <v>26</v>
      </c>
      <c r="F56" s="77"/>
      <c r="G56" s="77"/>
      <c r="H56" s="2">
        <f>((189*1.2)*650)-(((189*1.2)*650)*H2)</f>
        <v>117936</v>
      </c>
      <c r="I56" s="6">
        <f t="shared" si="5"/>
        <v>4347416.018759477</v>
      </c>
      <c r="L56" s="32">
        <f t="shared" si="6"/>
        <v>3066336</v>
      </c>
      <c r="M56" s="83">
        <f t="shared" si="7"/>
        <v>8.3815891588561883E-2</v>
      </c>
      <c r="N56" s="28">
        <f t="shared" si="8"/>
        <v>747186.82347322558</v>
      </c>
      <c r="O56" s="36">
        <v>747186.82347322558</v>
      </c>
      <c r="Q56" s="28">
        <f t="shared" si="9"/>
        <v>533893.1952862516</v>
      </c>
      <c r="R56" s="36">
        <v>533893.1952862516</v>
      </c>
    </row>
    <row r="57" spans="2:18" ht="15.75" thickBot="1" x14ac:dyDescent="0.3">
      <c r="B57" s="20" t="s">
        <v>38</v>
      </c>
      <c r="C57" s="4" t="s">
        <v>39</v>
      </c>
      <c r="D57" s="45" t="s">
        <v>4</v>
      </c>
      <c r="E57" s="46">
        <v>52</v>
      </c>
      <c r="F57" s="77"/>
      <c r="G57" s="77"/>
      <c r="H57" s="2">
        <f>1*650</f>
        <v>650</v>
      </c>
      <c r="I57" s="6">
        <f t="shared" si="5"/>
        <v>47921.252411369896</v>
      </c>
      <c r="J57" s="88" t="s">
        <v>105</v>
      </c>
      <c r="K57" s="87" t="s">
        <v>106</v>
      </c>
      <c r="L57" s="32">
        <f t="shared" si="6"/>
        <v>33800</v>
      </c>
      <c r="M57" s="83">
        <f t="shared" si="7"/>
        <v>9.2389651221959736E-4</v>
      </c>
      <c r="N57" s="28">
        <f t="shared" si="8"/>
        <v>8236.1863257630666</v>
      </c>
      <c r="O57" s="36">
        <v>8236.1863257630666</v>
      </c>
      <c r="Q57" s="28">
        <f t="shared" si="9"/>
        <v>5885.0660856068298</v>
      </c>
      <c r="R57" s="36">
        <v>5885.0660856068298</v>
      </c>
    </row>
    <row r="58" spans="2:18" ht="15.75" thickBot="1" x14ac:dyDescent="0.3">
      <c r="B58" s="20" t="s">
        <v>40</v>
      </c>
      <c r="C58" s="4" t="s">
        <v>41</v>
      </c>
      <c r="D58" s="45" t="s">
        <v>4</v>
      </c>
      <c r="E58" s="46">
        <v>400</v>
      </c>
      <c r="F58" s="77"/>
      <c r="G58" s="77"/>
      <c r="H58" s="2">
        <f>((85*1.2)*650)-(((85*1.2)*650)*H2)</f>
        <v>53040</v>
      </c>
      <c r="I58" s="6">
        <f t="shared" si="5"/>
        <v>30079801.513598334</v>
      </c>
      <c r="J58" s="89" t="s">
        <v>107</v>
      </c>
      <c r="K58" s="87" t="s">
        <v>108</v>
      </c>
      <c r="L58" s="32">
        <f t="shared" si="6"/>
        <v>21216000</v>
      </c>
      <c r="M58" s="83">
        <f t="shared" si="7"/>
        <v>0.5799227338239934</v>
      </c>
      <c r="N58" s="28">
        <f t="shared" si="8"/>
        <v>5169790.8014020482</v>
      </c>
      <c r="O58" s="36">
        <v>5169790.8014020482</v>
      </c>
      <c r="Q58" s="28">
        <f t="shared" si="9"/>
        <v>3694010.7121962868</v>
      </c>
      <c r="R58" s="36">
        <v>3694010.7121962868</v>
      </c>
    </row>
    <row r="59" spans="2:18" ht="15.75" thickBot="1" x14ac:dyDescent="0.3">
      <c r="B59" s="20" t="s">
        <v>42</v>
      </c>
      <c r="C59" s="4" t="s">
        <v>43</v>
      </c>
      <c r="D59" s="45" t="s">
        <v>4</v>
      </c>
      <c r="E59" s="46">
        <v>400</v>
      </c>
      <c r="F59" s="77"/>
      <c r="G59" s="77"/>
      <c r="H59" s="2">
        <f>0.5*650</f>
        <v>325</v>
      </c>
      <c r="I59" s="6">
        <f t="shared" si="5"/>
        <v>184312.50927449961</v>
      </c>
      <c r="J59" s="89" t="s">
        <v>107</v>
      </c>
      <c r="K59" s="87" t="s">
        <v>108</v>
      </c>
      <c r="L59" s="32">
        <f t="shared" si="6"/>
        <v>130000</v>
      </c>
      <c r="M59" s="83">
        <f t="shared" si="7"/>
        <v>3.5534481239215287E-3</v>
      </c>
      <c r="N59" s="28">
        <f t="shared" si="8"/>
        <v>31677.639714473338</v>
      </c>
      <c r="O59" s="36">
        <v>31677.639714473338</v>
      </c>
      <c r="Q59" s="28">
        <f t="shared" si="9"/>
        <v>22634.869560026269</v>
      </c>
      <c r="R59" s="36">
        <v>22634.869560026269</v>
      </c>
    </row>
    <row r="60" spans="2:18" ht="15.75" thickBot="1" x14ac:dyDescent="0.3">
      <c r="B60" s="20" t="s">
        <v>44</v>
      </c>
      <c r="C60" s="4" t="s">
        <v>45</v>
      </c>
      <c r="D60" s="45" t="s">
        <v>4</v>
      </c>
      <c r="E60" s="46">
        <v>52</v>
      </c>
      <c r="F60" s="77"/>
      <c r="G60" s="77"/>
      <c r="H60" s="2">
        <f>((25*1.2)*650)-(((25*1.2)*650)*H2)</f>
        <v>15600</v>
      </c>
      <c r="I60" s="6">
        <f t="shared" si="5"/>
        <v>1150110.0578728777</v>
      </c>
      <c r="J60" s="90" t="s">
        <v>109</v>
      </c>
      <c r="K60" s="87" t="s">
        <v>110</v>
      </c>
      <c r="L60" s="32">
        <f t="shared" si="6"/>
        <v>811200</v>
      </c>
      <c r="M60" s="83">
        <f t="shared" si="7"/>
        <v>2.2173516293270339E-2</v>
      </c>
      <c r="N60" s="28">
        <f t="shared" si="8"/>
        <v>197668.47181831364</v>
      </c>
      <c r="O60" s="36">
        <v>197668.47181831364</v>
      </c>
      <c r="Q60" s="28">
        <f t="shared" si="9"/>
        <v>141241.58605456393</v>
      </c>
      <c r="R60" s="36">
        <v>141241.58605456393</v>
      </c>
    </row>
    <row r="61" spans="2:18" ht="15.75" thickBot="1" x14ac:dyDescent="0.3">
      <c r="B61" s="20" t="s">
        <v>46</v>
      </c>
      <c r="C61" s="4" t="s">
        <v>47</v>
      </c>
      <c r="D61" s="45" t="s">
        <v>4</v>
      </c>
      <c r="E61" s="46">
        <v>10</v>
      </c>
      <c r="F61" s="77"/>
      <c r="G61" s="77"/>
      <c r="H61" s="2">
        <f>((12*1.2)*650)-(((12*1.2)*650)*H2)</f>
        <v>7487.9999999999982</v>
      </c>
      <c r="I61" s="6">
        <f t="shared" si="5"/>
        <v>106164.00534211176</v>
      </c>
      <c r="J61" s="90" t="s">
        <v>109</v>
      </c>
      <c r="K61" s="87" t="s">
        <v>110</v>
      </c>
      <c r="L61" s="32">
        <f t="shared" si="6"/>
        <v>74879.999999999985</v>
      </c>
      <c r="M61" s="83">
        <f t="shared" si="7"/>
        <v>2.0467861193787999E-3</v>
      </c>
      <c r="N61" s="28">
        <f t="shared" si="8"/>
        <v>18246.320475536639</v>
      </c>
      <c r="O61" s="36">
        <v>18246.320475536639</v>
      </c>
      <c r="Q61" s="28">
        <f t="shared" si="9"/>
        <v>13037.684866575128</v>
      </c>
      <c r="R61" s="36">
        <v>13037.684866575128</v>
      </c>
    </row>
    <row r="62" spans="2:18" x14ac:dyDescent="0.25">
      <c r="B62" s="20" t="s">
        <v>48</v>
      </c>
      <c r="C62" s="4" t="s">
        <v>13</v>
      </c>
      <c r="D62" s="45" t="s">
        <v>4</v>
      </c>
      <c r="E62" s="46">
        <v>26</v>
      </c>
      <c r="F62" s="77"/>
      <c r="G62" s="77"/>
      <c r="H62" s="2">
        <f>((150*1.2)*650)-(((150*1.2)*650)*H2)</f>
        <v>93600</v>
      </c>
      <c r="I62" s="6">
        <f t="shared" si="5"/>
        <v>3450330.1736186328</v>
      </c>
      <c r="J62" t="s">
        <v>111</v>
      </c>
      <c r="L62" s="32">
        <f t="shared" si="6"/>
        <v>2433600</v>
      </c>
      <c r="M62" s="83">
        <f t="shared" si="7"/>
        <v>6.6520548879811014E-2</v>
      </c>
      <c r="N62" s="28">
        <f t="shared" si="8"/>
        <v>593005.41545494087</v>
      </c>
      <c r="O62" s="36">
        <v>593005.41545494087</v>
      </c>
      <c r="Q62" s="28">
        <f t="shared" si="9"/>
        <v>423724.75816369179</v>
      </c>
      <c r="R62" s="36">
        <v>423724.75816369179</v>
      </c>
    </row>
    <row r="63" spans="2:18" x14ac:dyDescent="0.25">
      <c r="B63" s="20" t="s">
        <v>49</v>
      </c>
      <c r="C63" s="4" t="s">
        <v>50</v>
      </c>
      <c r="D63" s="45" t="s">
        <v>4</v>
      </c>
      <c r="E63" s="46">
        <v>1</v>
      </c>
      <c r="F63" s="77"/>
      <c r="G63" s="77"/>
      <c r="H63" s="2">
        <f>((247*1.2)*650)-(((247*1.2)*650)*H2)</f>
        <v>154127.99999999997</v>
      </c>
      <c r="I63" s="6">
        <f t="shared" si="5"/>
        <v>218520.9109958467</v>
      </c>
      <c r="L63" s="32">
        <f t="shared" si="6"/>
        <v>154127.99999999997</v>
      </c>
      <c r="M63" s="83">
        <f t="shared" si="7"/>
        <v>4.2129680957213632E-3</v>
      </c>
      <c r="N63" s="28">
        <f t="shared" si="8"/>
        <v>37557.009645479578</v>
      </c>
      <c r="O63" s="36">
        <v>37557.009645479578</v>
      </c>
      <c r="Q63" s="28">
        <f t="shared" si="9"/>
        <v>26835.901350367138</v>
      </c>
      <c r="R63" s="36">
        <v>26835.901350367138</v>
      </c>
    </row>
    <row r="64" spans="2:18" x14ac:dyDescent="0.25">
      <c r="B64" s="20" t="s">
        <v>51</v>
      </c>
      <c r="C64" s="4" t="s">
        <v>21</v>
      </c>
      <c r="D64" s="45" t="s">
        <v>4</v>
      </c>
      <c r="E64" s="46">
        <v>5</v>
      </c>
      <c r="F64" s="77"/>
      <c r="G64" s="77"/>
      <c r="H64" s="2">
        <f>((619*1.2)*650)-(((619*1.2)*650)*H2)</f>
        <v>386255.99999999994</v>
      </c>
      <c r="I64" s="6">
        <f t="shared" si="5"/>
        <v>2738146.637781966</v>
      </c>
      <c r="L64" s="32">
        <f t="shared" si="6"/>
        <v>1931279.9999999998</v>
      </c>
      <c r="M64" s="83">
        <f t="shared" si="7"/>
        <v>5.2790025328978224E-2</v>
      </c>
      <c r="N64" s="28">
        <f t="shared" si="8"/>
        <v>470603.01559821586</v>
      </c>
      <c r="O64" s="36">
        <v>470603.01559821586</v>
      </c>
      <c r="Q64" s="28">
        <f t="shared" si="9"/>
        <v>336263.62218375021</v>
      </c>
      <c r="R64" s="36">
        <v>336263.62218375021</v>
      </c>
    </row>
    <row r="65" spans="2:18" x14ac:dyDescent="0.25">
      <c r="B65" s="20"/>
      <c r="C65" s="29" t="s">
        <v>66</v>
      </c>
      <c r="D65" s="47"/>
      <c r="E65" s="48">
        <v>78</v>
      </c>
      <c r="F65" s="77"/>
      <c r="G65" s="77"/>
      <c r="H65" s="30">
        <f>(25*1.2)*650</f>
        <v>19500</v>
      </c>
      <c r="I65" s="35">
        <f>E65*H65+O65</f>
        <v>1521000</v>
      </c>
      <c r="L65" s="84">
        <f>SUM(L54:L64)</f>
        <v>36584184</v>
      </c>
      <c r="M65" s="33"/>
      <c r="N65" s="82">
        <f>SUM(I65:I68)</f>
        <v>8914620</v>
      </c>
      <c r="Q65" s="82">
        <f>SUM(I69:I70)</f>
        <v>6369832.5600000005</v>
      </c>
      <c r="R65" s="36"/>
    </row>
    <row r="66" spans="2:18" x14ac:dyDescent="0.25">
      <c r="B66" s="20"/>
      <c r="C66" s="29" t="s">
        <v>67</v>
      </c>
      <c r="D66" s="47"/>
      <c r="E66" s="48">
        <v>20</v>
      </c>
      <c r="F66" s="77"/>
      <c r="G66" s="77"/>
      <c r="H66" s="30">
        <f>(178*1.2)*650</f>
        <v>138840</v>
      </c>
      <c r="I66" s="35">
        <f>E66*H66+O66</f>
        <v>2776800</v>
      </c>
      <c r="L66" s="32"/>
      <c r="M66" s="33"/>
      <c r="N66" s="28"/>
      <c r="Q66" s="36"/>
    </row>
    <row r="67" spans="2:18" x14ac:dyDescent="0.25">
      <c r="B67" s="20"/>
      <c r="C67" s="29" t="s">
        <v>68</v>
      </c>
      <c r="D67" s="47"/>
      <c r="E67" s="48">
        <v>20</v>
      </c>
      <c r="F67" s="77"/>
      <c r="G67" s="77"/>
      <c r="H67" s="30">
        <f>(223*1.2)*650</f>
        <v>173939.99999999997</v>
      </c>
      <c r="I67" s="35">
        <f>E67*H67+O67</f>
        <v>3478799.9999999995</v>
      </c>
      <c r="M67" s="33"/>
      <c r="N67" s="28"/>
      <c r="Q67" s="128"/>
      <c r="R67" s="128"/>
    </row>
    <row r="68" spans="2:18" x14ac:dyDescent="0.25">
      <c r="B68" s="20"/>
      <c r="C68" s="29" t="s">
        <v>21</v>
      </c>
      <c r="D68" s="47" t="s">
        <v>4</v>
      </c>
      <c r="E68" s="48">
        <v>1</v>
      </c>
      <c r="F68" s="77"/>
      <c r="G68" s="77"/>
      <c r="H68" s="30">
        <f>(1459*1.2)*650</f>
        <v>1138020</v>
      </c>
      <c r="I68" s="35">
        <f>E68*H68+O68</f>
        <v>1138020</v>
      </c>
      <c r="M68" s="33"/>
      <c r="N68" s="28"/>
      <c r="Q68" s="128"/>
      <c r="R68" s="128"/>
    </row>
    <row r="69" spans="2:18" x14ac:dyDescent="0.25">
      <c r="B69" s="20"/>
      <c r="C69" s="29" t="s">
        <v>69</v>
      </c>
      <c r="D69" s="47"/>
      <c r="E69" s="48">
        <v>1</v>
      </c>
      <c r="F69" s="77"/>
      <c r="G69" s="77"/>
      <c r="H69" s="30">
        <v>4094892.36</v>
      </c>
      <c r="I69" s="35">
        <f t="shared" ref="I69:I70" si="10">E69*H69</f>
        <v>4094892.36</v>
      </c>
      <c r="Q69" s="128"/>
      <c r="R69" s="128"/>
    </row>
    <row r="70" spans="2:18" ht="15.75" thickBot="1" x14ac:dyDescent="0.3">
      <c r="B70" s="22"/>
      <c r="C70" s="34" t="s">
        <v>65</v>
      </c>
      <c r="D70" s="54"/>
      <c r="E70" s="55">
        <v>1</v>
      </c>
      <c r="F70" s="81"/>
      <c r="G70" s="81"/>
      <c r="H70" s="56">
        <v>2274940.2000000002</v>
      </c>
      <c r="I70" s="57">
        <f t="shared" si="10"/>
        <v>2274940.2000000002</v>
      </c>
      <c r="Q70" s="128"/>
      <c r="R70" s="128"/>
    </row>
    <row r="71" spans="2:18" ht="15.75" thickBot="1" x14ac:dyDescent="0.3">
      <c r="H71" s="27" t="s">
        <v>53</v>
      </c>
      <c r="I71" s="42">
        <f>SUM(I7:I40,I54:I64)</f>
        <v>345501543.06000006</v>
      </c>
      <c r="K71" s="28"/>
      <c r="M71" s="28"/>
      <c r="N71" s="28"/>
      <c r="Q71" s="128"/>
      <c r="R71" s="128"/>
    </row>
    <row r="72" spans="2:18" x14ac:dyDescent="0.25">
      <c r="Q72" s="128"/>
      <c r="R72" s="128"/>
    </row>
    <row r="73" spans="2:18" ht="15.75" thickBot="1" x14ac:dyDescent="0.3">
      <c r="E73" t="s">
        <v>157</v>
      </c>
      <c r="I73" s="28"/>
      <c r="J73" t="s">
        <v>158</v>
      </c>
      <c r="Q73" s="128"/>
      <c r="R73" s="128"/>
    </row>
    <row r="74" spans="2:18" ht="15.75" thickBot="1" x14ac:dyDescent="0.3">
      <c r="D74" s="91" t="s">
        <v>112</v>
      </c>
      <c r="E74" s="92" t="s">
        <v>113</v>
      </c>
      <c r="F74" s="92" t="s">
        <v>114</v>
      </c>
      <c r="G74" s="92" t="s">
        <v>115</v>
      </c>
      <c r="H74" s="92" t="s">
        <v>116</v>
      </c>
      <c r="I74" s="28"/>
      <c r="Q74" s="128"/>
      <c r="R74" s="128"/>
    </row>
    <row r="75" spans="2:18" ht="15.75" thickBot="1" x14ac:dyDescent="0.3">
      <c r="D75" s="86" t="s">
        <v>117</v>
      </c>
      <c r="E75" s="87" t="s">
        <v>118</v>
      </c>
      <c r="F75" s="93" t="s">
        <v>119</v>
      </c>
      <c r="G75" s="95">
        <v>1</v>
      </c>
      <c r="H75" s="93" t="s">
        <v>119</v>
      </c>
      <c r="I75" s="94">
        <v>1459</v>
      </c>
      <c r="J75" s="98">
        <v>1</v>
      </c>
    </row>
    <row r="76" spans="2:18" ht="15.75" thickBot="1" x14ac:dyDescent="0.3">
      <c r="D76" s="86" t="s">
        <v>120</v>
      </c>
      <c r="E76" s="87" t="s">
        <v>121</v>
      </c>
      <c r="F76" s="93" t="s">
        <v>122</v>
      </c>
      <c r="G76" s="95">
        <v>5</v>
      </c>
      <c r="H76" s="93" t="s">
        <v>123</v>
      </c>
      <c r="I76" s="94">
        <v>3095</v>
      </c>
      <c r="J76" s="98">
        <v>5</v>
      </c>
    </row>
    <row r="77" spans="2:18" ht="15.75" thickBot="1" x14ac:dyDescent="0.3">
      <c r="D77" s="86" t="s">
        <v>124</v>
      </c>
      <c r="E77" s="87" t="s">
        <v>125</v>
      </c>
      <c r="F77" s="93" t="s">
        <v>126</v>
      </c>
      <c r="G77" s="95">
        <v>1</v>
      </c>
      <c r="H77" s="93" t="s">
        <v>126</v>
      </c>
      <c r="I77" s="94">
        <v>2667</v>
      </c>
      <c r="J77" s="98">
        <v>0</v>
      </c>
    </row>
    <row r="78" spans="2:18" ht="15.75" thickBot="1" x14ac:dyDescent="0.3">
      <c r="D78" s="86" t="s">
        <v>127</v>
      </c>
      <c r="E78" s="87" t="s">
        <v>128</v>
      </c>
      <c r="F78" s="93" t="s">
        <v>129</v>
      </c>
      <c r="G78" s="95">
        <v>1</v>
      </c>
      <c r="H78" s="93" t="s">
        <v>129</v>
      </c>
      <c r="I78" s="94">
        <v>1700</v>
      </c>
      <c r="J78" s="98">
        <v>1</v>
      </c>
    </row>
    <row r="79" spans="2:18" ht="15.75" thickBot="1" x14ac:dyDescent="0.3">
      <c r="D79" s="86" t="s">
        <v>130</v>
      </c>
      <c r="E79" s="87" t="s">
        <v>131</v>
      </c>
      <c r="F79" s="93" t="s">
        <v>132</v>
      </c>
      <c r="G79" s="95">
        <v>1</v>
      </c>
      <c r="H79" s="93" t="s">
        <v>132</v>
      </c>
      <c r="I79" s="94">
        <v>1800</v>
      </c>
      <c r="J79" s="98">
        <v>0</v>
      </c>
    </row>
    <row r="80" spans="2:18" ht="15.75" thickBot="1" x14ac:dyDescent="0.3">
      <c r="D80" s="88" t="s">
        <v>107</v>
      </c>
      <c r="E80" s="87" t="s">
        <v>108</v>
      </c>
      <c r="F80" s="93" t="s">
        <v>133</v>
      </c>
      <c r="G80" s="95">
        <v>400</v>
      </c>
      <c r="H80" s="93" t="s">
        <v>134</v>
      </c>
      <c r="I80" s="94">
        <v>34000</v>
      </c>
      <c r="J80" s="122">
        <v>400</v>
      </c>
    </row>
    <row r="81" spans="4:10" ht="15.75" thickBot="1" x14ac:dyDescent="0.3">
      <c r="D81" s="86" t="s">
        <v>109</v>
      </c>
      <c r="E81" s="87" t="s">
        <v>110</v>
      </c>
      <c r="F81" s="93" t="s">
        <v>135</v>
      </c>
      <c r="G81" s="95">
        <v>10</v>
      </c>
      <c r="H81" s="93" t="s">
        <v>136</v>
      </c>
      <c r="I81" s="94">
        <v>120</v>
      </c>
      <c r="J81" s="98">
        <v>10</v>
      </c>
    </row>
    <row r="82" spans="4:10" ht="15.75" thickBot="1" x14ac:dyDescent="0.3">
      <c r="D82" s="86" t="s">
        <v>137</v>
      </c>
      <c r="E82" s="87" t="s">
        <v>138</v>
      </c>
      <c r="F82" s="93" t="s">
        <v>139</v>
      </c>
      <c r="G82" s="95">
        <v>45</v>
      </c>
      <c r="H82" s="93" t="s">
        <v>140</v>
      </c>
      <c r="I82" s="94">
        <v>2655</v>
      </c>
      <c r="J82" s="98">
        <v>26</v>
      </c>
    </row>
    <row r="83" spans="4:10" ht="15.75" thickBot="1" x14ac:dyDescent="0.3">
      <c r="D83" s="86" t="s">
        <v>141</v>
      </c>
      <c r="E83" s="87" t="s">
        <v>142</v>
      </c>
      <c r="F83" s="93" t="s">
        <v>143</v>
      </c>
      <c r="G83" s="95">
        <v>24</v>
      </c>
      <c r="H83" s="93" t="s">
        <v>144</v>
      </c>
      <c r="I83" s="94">
        <v>6696</v>
      </c>
      <c r="J83" s="122">
        <v>26</v>
      </c>
    </row>
    <row r="84" spans="4:10" ht="15.75" thickBot="1" x14ac:dyDescent="0.3">
      <c r="D84" s="88" t="s">
        <v>103</v>
      </c>
      <c r="E84" s="87" t="s">
        <v>104</v>
      </c>
      <c r="F84" s="93" t="s">
        <v>145</v>
      </c>
      <c r="G84" s="95">
        <v>12</v>
      </c>
      <c r="H84" s="93" t="s">
        <v>146</v>
      </c>
      <c r="I84" s="94">
        <v>5784</v>
      </c>
      <c r="J84" s="122">
        <v>13</v>
      </c>
    </row>
    <row r="85" spans="4:10" ht="15.75" thickBot="1" x14ac:dyDescent="0.3">
      <c r="D85" s="88" t="s">
        <v>105</v>
      </c>
      <c r="E85" s="87" t="s">
        <v>106</v>
      </c>
      <c r="F85" s="93" t="s">
        <v>147</v>
      </c>
      <c r="G85" s="95">
        <v>48</v>
      </c>
      <c r="H85" s="93" t="s">
        <v>148</v>
      </c>
      <c r="I85" s="94">
        <v>10320</v>
      </c>
      <c r="J85" s="122">
        <v>52</v>
      </c>
    </row>
    <row r="86" spans="4:10" ht="15.75" thickBot="1" x14ac:dyDescent="0.3">
      <c r="D86" s="86" t="s">
        <v>149</v>
      </c>
      <c r="E86" s="87" t="s">
        <v>150</v>
      </c>
      <c r="F86" s="93" t="s">
        <v>151</v>
      </c>
      <c r="G86" s="95">
        <v>84</v>
      </c>
      <c r="H86" s="93" t="s">
        <v>152</v>
      </c>
      <c r="I86" s="94">
        <v>2100</v>
      </c>
      <c r="J86" s="98">
        <v>0</v>
      </c>
    </row>
    <row r="87" spans="4:10" ht="15.75" thickBot="1" x14ac:dyDescent="0.3">
      <c r="D87" s="86" t="s">
        <v>153</v>
      </c>
      <c r="E87" s="87" t="s">
        <v>154</v>
      </c>
      <c r="F87" s="93" t="s">
        <v>155</v>
      </c>
      <c r="G87" s="95">
        <v>48</v>
      </c>
      <c r="H87" s="93" t="s">
        <v>156</v>
      </c>
      <c r="I87" s="94">
        <v>1152</v>
      </c>
      <c r="J87" s="98">
        <v>48</v>
      </c>
    </row>
    <row r="88" spans="4:10" x14ac:dyDescent="0.25">
      <c r="J88" s="98"/>
    </row>
    <row r="89" spans="4:10" x14ac:dyDescent="0.25">
      <c r="D89" t="s">
        <v>162</v>
      </c>
      <c r="E89" s="96" t="s">
        <v>161</v>
      </c>
      <c r="G89" s="97">
        <v>26</v>
      </c>
      <c r="H89">
        <f>SUM(H75:H87)</f>
        <v>0</v>
      </c>
      <c r="I89">
        <f>SUM(I75:I87)</f>
        <v>73548</v>
      </c>
      <c r="J89" s="122">
        <v>26</v>
      </c>
    </row>
    <row r="90" spans="4:10" x14ac:dyDescent="0.25">
      <c r="D90" t="s">
        <v>160</v>
      </c>
      <c r="E90" s="96" t="s">
        <v>159</v>
      </c>
      <c r="G90" s="97">
        <v>26</v>
      </c>
      <c r="J90" s="122">
        <v>13</v>
      </c>
    </row>
    <row r="91" spans="4:10" x14ac:dyDescent="0.25">
      <c r="J91" s="98"/>
    </row>
    <row r="92" spans="4:10" x14ac:dyDescent="0.25">
      <c r="J92" s="98"/>
    </row>
    <row r="162" spans="6:7" x14ac:dyDescent="0.25">
      <c r="F162"/>
      <c r="G162"/>
    </row>
    <row r="163" spans="6:7" x14ac:dyDescent="0.25">
      <c r="F163"/>
      <c r="G163"/>
    </row>
  </sheetData>
  <mergeCells count="1">
    <mergeCell ref="Q67:R74"/>
  </mergeCells>
  <pageMargins left="0.7" right="0.7" top="0.75" bottom="0.75" header="0.3" footer="0.3"/>
  <pageSetup orientation="portrait" horizontalDpi="4294967295" verticalDpi="4294967295" r:id="rId1"/>
  <ignoredErrors>
    <ignoredError sqref="I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3"/>
  <sheetViews>
    <sheetView topLeftCell="A4" zoomScale="80" zoomScaleNormal="80" workbookViewId="0">
      <selection activeCell="I23" sqref="C23:I25"/>
    </sheetView>
  </sheetViews>
  <sheetFormatPr baseColWidth="10" defaultRowHeight="15" x14ac:dyDescent="0.25"/>
  <cols>
    <col min="3" max="3" width="115.42578125" bestFit="1" customWidth="1"/>
    <col min="5" max="5" width="12.5703125" customWidth="1"/>
    <col min="6" max="6" width="15" bestFit="1" customWidth="1"/>
    <col min="7" max="7" width="17.42578125" bestFit="1" customWidth="1"/>
    <col min="8" max="8" width="14.140625" style="85" customWidth="1"/>
    <col min="9" max="9" width="14.7109375" style="85" bestFit="1" customWidth="1"/>
  </cols>
  <sheetData>
    <row r="2" spans="2:7" ht="15.75" thickBot="1" x14ac:dyDescent="0.3"/>
    <row r="3" spans="2:7" ht="48" thickBot="1" x14ac:dyDescent="0.3">
      <c r="B3" s="25" t="s">
        <v>0</v>
      </c>
      <c r="C3" s="26" t="s">
        <v>1</v>
      </c>
      <c r="D3" s="26" t="s">
        <v>2</v>
      </c>
      <c r="E3" s="8" t="s">
        <v>52</v>
      </c>
      <c r="F3" s="9" t="s">
        <v>62</v>
      </c>
      <c r="G3" s="10" t="s">
        <v>63</v>
      </c>
    </row>
    <row r="4" spans="2:7" ht="15.75" x14ac:dyDescent="0.25">
      <c r="B4" s="11" t="s">
        <v>5</v>
      </c>
      <c r="C4" s="12" t="s">
        <v>6</v>
      </c>
      <c r="D4" s="13"/>
      <c r="E4" s="14"/>
      <c r="F4" s="15"/>
      <c r="G4" s="16"/>
    </row>
    <row r="5" spans="2:7" ht="15.75" x14ac:dyDescent="0.25">
      <c r="B5" s="17" t="s">
        <v>7</v>
      </c>
      <c r="C5" s="3" t="s">
        <v>8</v>
      </c>
      <c r="D5" s="18" t="s">
        <v>3</v>
      </c>
      <c r="E5" s="19"/>
      <c r="F5" s="1"/>
      <c r="G5" s="5"/>
    </row>
    <row r="6" spans="2:7" x14ac:dyDescent="0.25">
      <c r="B6" s="20" t="s">
        <v>9</v>
      </c>
      <c r="C6" s="4" t="s">
        <v>10</v>
      </c>
      <c r="D6" s="21" t="s">
        <v>4</v>
      </c>
      <c r="E6" s="61">
        <v>27</v>
      </c>
      <c r="F6" s="2">
        <v>1193400</v>
      </c>
      <c r="G6" s="6">
        <v>47469716.749750376</v>
      </c>
    </row>
    <row r="7" spans="2:7" x14ac:dyDescent="0.25">
      <c r="B7" s="20" t="s">
        <v>11</v>
      </c>
      <c r="C7" s="4" t="s">
        <v>58</v>
      </c>
      <c r="D7" s="21" t="s">
        <v>4</v>
      </c>
      <c r="E7" s="61">
        <v>389</v>
      </c>
      <c r="F7" s="2">
        <v>106177.5</v>
      </c>
      <c r="G7" s="6">
        <v>60848368.67358388</v>
      </c>
    </row>
    <row r="8" spans="2:7" x14ac:dyDescent="0.25">
      <c r="B8" s="20" t="s">
        <v>12</v>
      </c>
      <c r="C8" s="4" t="s">
        <v>59</v>
      </c>
      <c r="D8" s="21" t="s">
        <v>4</v>
      </c>
      <c r="E8" s="61">
        <v>314</v>
      </c>
      <c r="F8" s="2">
        <v>252037.5</v>
      </c>
      <c r="G8" s="6">
        <v>116590094.37365311</v>
      </c>
    </row>
    <row r="9" spans="2:7" x14ac:dyDescent="0.25">
      <c r="B9" s="20" t="s">
        <v>14</v>
      </c>
      <c r="C9" s="4" t="s">
        <v>60</v>
      </c>
      <c r="D9" s="21" t="s">
        <v>4</v>
      </c>
      <c r="E9" s="61">
        <v>199</v>
      </c>
      <c r="F9" s="2">
        <v>38610</v>
      </c>
      <c r="G9" s="6">
        <v>11319303.917778164</v>
      </c>
    </row>
    <row r="10" spans="2:7" x14ac:dyDescent="0.25">
      <c r="B10" s="20" t="s">
        <v>15</v>
      </c>
      <c r="C10" s="4" t="s">
        <v>16</v>
      </c>
      <c r="D10" s="21" t="s">
        <v>4</v>
      </c>
      <c r="E10" s="61">
        <v>389</v>
      </c>
      <c r="F10" s="2">
        <v>19662.5</v>
      </c>
      <c r="G10" s="6">
        <v>11268216.421034053</v>
      </c>
    </row>
    <row r="11" spans="2:7" x14ac:dyDescent="0.25">
      <c r="B11" s="20" t="s">
        <v>17</v>
      </c>
      <c r="C11" s="4" t="s">
        <v>61</v>
      </c>
      <c r="D11" s="21" t="s">
        <v>4</v>
      </c>
      <c r="E11" s="61">
        <v>106</v>
      </c>
      <c r="F11" s="2">
        <v>64350</v>
      </c>
      <c r="G11" s="6">
        <v>10048963.277089495</v>
      </c>
    </row>
    <row r="12" spans="2:7" x14ac:dyDescent="0.25">
      <c r="B12" s="20" t="s">
        <v>18</v>
      </c>
      <c r="C12" s="4" t="s">
        <v>19</v>
      </c>
      <c r="D12" s="21" t="s">
        <v>4</v>
      </c>
      <c r="E12" s="61">
        <v>8</v>
      </c>
      <c r="F12" s="2">
        <v>108456.56249999999</v>
      </c>
      <c r="G12" s="6">
        <v>1278240.7690511635</v>
      </c>
    </row>
    <row r="13" spans="2:7" x14ac:dyDescent="0.25">
      <c r="B13" s="20" t="s">
        <v>20</v>
      </c>
      <c r="C13" s="4" t="s">
        <v>21</v>
      </c>
      <c r="D13" s="21" t="s">
        <v>4</v>
      </c>
      <c r="E13" s="61">
        <v>1</v>
      </c>
      <c r="F13" s="2">
        <v>11895000</v>
      </c>
      <c r="G13" s="6">
        <v>8921250</v>
      </c>
    </row>
    <row r="14" spans="2:7" x14ac:dyDescent="0.25">
      <c r="B14" s="20" t="s">
        <v>22</v>
      </c>
      <c r="C14" s="4" t="s">
        <v>23</v>
      </c>
      <c r="D14" s="21" t="s">
        <v>4</v>
      </c>
      <c r="E14" s="61">
        <v>30</v>
      </c>
      <c r="F14" s="2">
        <v>330401.5</v>
      </c>
      <c r="G14" s="6">
        <v>14602597.265229734</v>
      </c>
    </row>
    <row r="15" spans="2:7" x14ac:dyDescent="0.25">
      <c r="B15" s="20" t="s">
        <v>24</v>
      </c>
      <c r="C15" s="4" t="s">
        <v>25</v>
      </c>
      <c r="D15" s="21" t="s">
        <v>4</v>
      </c>
      <c r="E15" s="61">
        <v>1</v>
      </c>
      <c r="F15" s="2">
        <v>7500000</v>
      </c>
      <c r="G15" s="6">
        <v>11049130.576911526</v>
      </c>
    </row>
    <row r="16" spans="2:7" x14ac:dyDescent="0.25">
      <c r="B16" s="20" t="s">
        <v>26</v>
      </c>
      <c r="C16" s="4" t="s">
        <v>27</v>
      </c>
      <c r="D16" s="21" t="s">
        <v>4</v>
      </c>
      <c r="E16" s="61">
        <v>14</v>
      </c>
      <c r="F16" s="2">
        <v>1</v>
      </c>
      <c r="G16" s="6">
        <v>20.625043743568181</v>
      </c>
    </row>
    <row r="17" spans="2:9" x14ac:dyDescent="0.25">
      <c r="B17" s="20" t="s">
        <v>28</v>
      </c>
      <c r="C17" s="4" t="s">
        <v>29</v>
      </c>
      <c r="D17" s="21" t="s">
        <v>4</v>
      </c>
      <c r="E17" s="61">
        <v>1</v>
      </c>
      <c r="F17" s="2">
        <v>160875</v>
      </c>
      <c r="G17" s="6">
        <v>237003.85087475221</v>
      </c>
      <c r="I17" s="85" t="s">
        <v>172</v>
      </c>
    </row>
    <row r="18" spans="2:9" ht="15.75" x14ac:dyDescent="0.25">
      <c r="B18" s="17" t="s">
        <v>30</v>
      </c>
      <c r="C18" s="58" t="s">
        <v>31</v>
      </c>
      <c r="D18" s="21" t="s">
        <v>3</v>
      </c>
      <c r="E18" s="61"/>
      <c r="F18" s="2"/>
      <c r="G18" s="6"/>
    </row>
    <row r="19" spans="2:9" x14ac:dyDescent="0.25">
      <c r="B19" s="20" t="s">
        <v>32</v>
      </c>
      <c r="C19" s="110" t="s">
        <v>33</v>
      </c>
      <c r="D19" s="21" t="s">
        <v>4</v>
      </c>
      <c r="E19" s="61">
        <v>26</v>
      </c>
      <c r="F19" s="2">
        <v>124800</v>
      </c>
      <c r="G19" s="6">
        <v>4600440.2314915108</v>
      </c>
      <c r="H19" s="85" t="s">
        <v>173</v>
      </c>
      <c r="I19" s="120">
        <v>13</v>
      </c>
    </row>
    <row r="20" spans="2:9" x14ac:dyDescent="0.25">
      <c r="B20" s="20" t="s">
        <v>34</v>
      </c>
      <c r="C20" s="110" t="s">
        <v>35</v>
      </c>
      <c r="D20" s="21" t="s">
        <v>4</v>
      </c>
      <c r="E20" s="61">
        <v>26</v>
      </c>
      <c r="F20" s="2">
        <v>134160</v>
      </c>
      <c r="G20" s="6">
        <v>4945473.2488533733</v>
      </c>
      <c r="H20" s="85" t="s">
        <v>165</v>
      </c>
      <c r="I20" s="121">
        <v>26</v>
      </c>
    </row>
    <row r="21" spans="2:9" x14ac:dyDescent="0.25">
      <c r="B21" s="20" t="s">
        <v>36</v>
      </c>
      <c r="C21" s="4" t="s">
        <v>37</v>
      </c>
      <c r="D21" s="21" t="s">
        <v>4</v>
      </c>
      <c r="E21" s="61">
        <v>26</v>
      </c>
      <c r="F21" s="2">
        <v>117936</v>
      </c>
      <c r="G21" s="6">
        <v>4347416.018759477</v>
      </c>
      <c r="H21" s="85" t="s">
        <v>167</v>
      </c>
      <c r="I21" s="118">
        <v>13</v>
      </c>
    </row>
    <row r="22" spans="2:9" x14ac:dyDescent="0.25">
      <c r="B22" s="20" t="s">
        <v>38</v>
      </c>
      <c r="C22" s="4" t="s">
        <v>39</v>
      </c>
      <c r="D22" s="21" t="s">
        <v>4</v>
      </c>
      <c r="E22" s="61">
        <v>52</v>
      </c>
      <c r="F22" s="2">
        <v>650</v>
      </c>
      <c r="G22" s="6">
        <v>47921.252411369896</v>
      </c>
      <c r="H22" s="85" t="s">
        <v>166</v>
      </c>
      <c r="I22" s="118">
        <v>52</v>
      </c>
    </row>
    <row r="23" spans="2:9" ht="15.75" thickBot="1" x14ac:dyDescent="0.3">
      <c r="B23" s="20" t="s">
        <v>40</v>
      </c>
      <c r="C23" s="4" t="s">
        <v>41</v>
      </c>
      <c r="D23" s="21" t="s">
        <v>4</v>
      </c>
      <c r="E23" s="61">
        <v>400</v>
      </c>
      <c r="F23" s="2">
        <v>53040</v>
      </c>
      <c r="G23" s="6">
        <v>30079801.513598334</v>
      </c>
      <c r="H23" s="89" t="s">
        <v>107</v>
      </c>
      <c r="I23" s="118">
        <v>400</v>
      </c>
    </row>
    <row r="24" spans="2:9" ht="15.75" thickBot="1" x14ac:dyDescent="0.3">
      <c r="B24" s="20" t="s">
        <v>42</v>
      </c>
      <c r="C24" s="65" t="s">
        <v>43</v>
      </c>
      <c r="D24" s="21" t="s">
        <v>4</v>
      </c>
      <c r="E24" s="61">
        <v>400</v>
      </c>
      <c r="F24" s="2">
        <v>325</v>
      </c>
      <c r="G24" s="6">
        <v>184312.50927449961</v>
      </c>
      <c r="H24" s="89" t="s">
        <v>107</v>
      </c>
      <c r="I24" s="118">
        <v>400</v>
      </c>
    </row>
    <row r="25" spans="2:9" ht="15.75" thickBot="1" x14ac:dyDescent="0.3">
      <c r="B25" s="20" t="s">
        <v>44</v>
      </c>
      <c r="C25" s="65" t="s">
        <v>45</v>
      </c>
      <c r="D25" s="21" t="s">
        <v>4</v>
      </c>
      <c r="E25" s="61">
        <v>52</v>
      </c>
      <c r="F25" s="2">
        <v>15600</v>
      </c>
      <c r="G25" s="6">
        <v>1150110.0578728777</v>
      </c>
      <c r="H25" s="90" t="s">
        <v>109</v>
      </c>
      <c r="I25" s="118">
        <v>52</v>
      </c>
    </row>
    <row r="26" spans="2:9" ht="15.75" thickBot="1" x14ac:dyDescent="0.3">
      <c r="B26" s="20" t="s">
        <v>46</v>
      </c>
      <c r="C26" s="65" t="s">
        <v>47</v>
      </c>
      <c r="D26" s="21" t="s">
        <v>4</v>
      </c>
      <c r="E26" s="61">
        <v>10</v>
      </c>
      <c r="F26" s="2">
        <v>7487.9999999999982</v>
      </c>
      <c r="G26" s="6">
        <v>106164.00534211176</v>
      </c>
      <c r="H26" s="90" t="s">
        <v>109</v>
      </c>
      <c r="I26" s="118">
        <v>10</v>
      </c>
    </row>
    <row r="27" spans="2:9" x14ac:dyDescent="0.25">
      <c r="B27" s="20" t="s">
        <v>48</v>
      </c>
      <c r="C27" s="117" t="s">
        <v>13</v>
      </c>
      <c r="D27" s="21" t="s">
        <v>4</v>
      </c>
      <c r="E27" s="61">
        <v>26</v>
      </c>
      <c r="F27" s="2">
        <v>93600</v>
      </c>
      <c r="G27" s="6">
        <v>3450330.1736186328</v>
      </c>
      <c r="H27" s="85" t="s">
        <v>162</v>
      </c>
      <c r="I27" s="118">
        <v>26</v>
      </c>
    </row>
    <row r="28" spans="2:9" x14ac:dyDescent="0.25">
      <c r="B28" s="20" t="s">
        <v>49</v>
      </c>
      <c r="C28" s="4" t="s">
        <v>50</v>
      </c>
      <c r="D28" s="21" t="s">
        <v>4</v>
      </c>
      <c r="E28" s="61">
        <v>1</v>
      </c>
      <c r="F28" s="2">
        <v>154127.99999999997</v>
      </c>
      <c r="G28" s="6">
        <v>218520.9109958467</v>
      </c>
      <c r="H28" s="85" t="s">
        <v>174</v>
      </c>
      <c r="I28" s="118">
        <v>1</v>
      </c>
    </row>
    <row r="29" spans="2:9" ht="15.75" thickBot="1" x14ac:dyDescent="0.3">
      <c r="B29" s="22" t="s">
        <v>51</v>
      </c>
      <c r="C29" s="24" t="s">
        <v>21</v>
      </c>
      <c r="D29" s="23" t="s">
        <v>4</v>
      </c>
      <c r="E29" s="62">
        <v>5</v>
      </c>
      <c r="F29" s="59">
        <v>386255.99999999994</v>
      </c>
      <c r="G29" s="60">
        <v>2738146.637781966</v>
      </c>
      <c r="H29" s="85" t="s">
        <v>175</v>
      </c>
      <c r="I29" s="118">
        <v>5</v>
      </c>
    </row>
    <row r="30" spans="2:9" ht="15.75" thickBot="1" x14ac:dyDescent="0.3">
      <c r="F30" s="27" t="s">
        <v>53</v>
      </c>
      <c r="G30" s="42">
        <f>SUM(G6:G29)</f>
        <v>345501543.06000006</v>
      </c>
    </row>
    <row r="33" spans="7:7" x14ac:dyDescent="0.25">
      <c r="G33" s="28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25D3-1D36-4F08-9F08-4EF91260DC7B}">
  <dimension ref="E5:H19"/>
  <sheetViews>
    <sheetView topLeftCell="B1" workbookViewId="0">
      <selection activeCell="J14" sqref="J14"/>
    </sheetView>
  </sheetViews>
  <sheetFormatPr baseColWidth="10" defaultRowHeight="15" x14ac:dyDescent="0.25"/>
  <cols>
    <col min="5" max="5" width="60.28515625" customWidth="1"/>
    <col min="8" max="8" width="24.42578125" customWidth="1"/>
  </cols>
  <sheetData>
    <row r="5" spans="5:8" x14ac:dyDescent="0.25">
      <c r="E5" t="s">
        <v>179</v>
      </c>
    </row>
    <row r="7" spans="5:8" ht="15.75" x14ac:dyDescent="0.25">
      <c r="E7" s="58" t="s">
        <v>31</v>
      </c>
      <c r="F7" s="45" t="s">
        <v>3</v>
      </c>
      <c r="G7" s="123"/>
      <c r="H7" s="118"/>
    </row>
    <row r="8" spans="5:8" x14ac:dyDescent="0.25">
      <c r="E8" s="110" t="s">
        <v>33</v>
      </c>
      <c r="F8" s="45" t="s">
        <v>4</v>
      </c>
      <c r="G8" s="126">
        <v>13</v>
      </c>
      <c r="H8" s="108" t="s">
        <v>178</v>
      </c>
    </row>
    <row r="9" spans="5:8" x14ac:dyDescent="0.25">
      <c r="E9" s="110" t="s">
        <v>35</v>
      </c>
      <c r="F9" s="45" t="s">
        <v>4</v>
      </c>
      <c r="G9" s="126">
        <v>26</v>
      </c>
      <c r="H9" s="101" t="s">
        <v>177</v>
      </c>
    </row>
    <row r="10" spans="5:8" x14ac:dyDescent="0.25">
      <c r="E10" s="4" t="s">
        <v>37</v>
      </c>
      <c r="F10" s="45" t="s">
        <v>4</v>
      </c>
      <c r="G10" s="127">
        <v>13</v>
      </c>
      <c r="H10" s="118" t="s">
        <v>167</v>
      </c>
    </row>
    <row r="11" spans="5:8" x14ac:dyDescent="0.25">
      <c r="E11" s="4" t="s">
        <v>39</v>
      </c>
      <c r="F11" s="45" t="s">
        <v>4</v>
      </c>
      <c r="G11" s="127">
        <v>52</v>
      </c>
      <c r="H11" s="108" t="s">
        <v>176</v>
      </c>
    </row>
    <row r="12" spans="5:8" x14ac:dyDescent="0.25">
      <c r="E12" s="4" t="s">
        <v>41</v>
      </c>
      <c r="F12" s="45" t="s">
        <v>4</v>
      </c>
      <c r="G12" s="127">
        <v>400</v>
      </c>
      <c r="H12" s="124" t="s">
        <v>107</v>
      </c>
    </row>
    <row r="13" spans="5:8" x14ac:dyDescent="0.25">
      <c r="E13" s="65" t="s">
        <v>43</v>
      </c>
      <c r="F13" s="45" t="s">
        <v>4</v>
      </c>
      <c r="G13" s="127">
        <v>400</v>
      </c>
      <c r="H13" s="124" t="s">
        <v>107</v>
      </c>
    </row>
    <row r="14" spans="5:8" x14ac:dyDescent="0.25">
      <c r="E14" s="65" t="s">
        <v>45</v>
      </c>
      <c r="F14" s="45" t="s">
        <v>4</v>
      </c>
      <c r="G14" s="127">
        <v>52</v>
      </c>
      <c r="H14" s="125" t="s">
        <v>109</v>
      </c>
    </row>
    <row r="15" spans="5:8" x14ac:dyDescent="0.25">
      <c r="E15" s="65" t="s">
        <v>47</v>
      </c>
      <c r="F15" s="45" t="s">
        <v>4</v>
      </c>
      <c r="G15" s="127">
        <v>10</v>
      </c>
      <c r="H15" s="125" t="s">
        <v>109</v>
      </c>
    </row>
    <row r="16" spans="5:8" x14ac:dyDescent="0.25">
      <c r="E16" s="117" t="s">
        <v>13</v>
      </c>
      <c r="F16" s="45" t="s">
        <v>4</v>
      </c>
      <c r="G16" s="127">
        <v>26</v>
      </c>
      <c r="H16" s="118" t="s">
        <v>162</v>
      </c>
    </row>
    <row r="17" spans="5:8" x14ac:dyDescent="0.25">
      <c r="E17" s="4" t="s">
        <v>50</v>
      </c>
      <c r="F17" s="45" t="s">
        <v>4</v>
      </c>
      <c r="G17" s="127">
        <v>1</v>
      </c>
      <c r="H17" s="118" t="s">
        <v>174</v>
      </c>
    </row>
    <row r="18" spans="5:8" x14ac:dyDescent="0.25">
      <c r="E18" s="4" t="s">
        <v>21</v>
      </c>
      <c r="F18" s="45" t="s">
        <v>4</v>
      </c>
      <c r="G18" s="127">
        <v>5</v>
      </c>
      <c r="H18" s="118" t="s">
        <v>175</v>
      </c>
    </row>
    <row r="19" spans="5:8" x14ac:dyDescent="0.25">
      <c r="E19" s="100"/>
      <c r="F19" s="100"/>
      <c r="G19" s="100"/>
      <c r="H19" s="118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A32F-A0B7-4F69-AE0F-DAE2F29A765D}">
  <dimension ref="B3:K41"/>
  <sheetViews>
    <sheetView tabSelected="1" topLeftCell="B16" zoomScale="85" zoomScaleNormal="85" workbookViewId="0">
      <selection activeCell="E27" sqref="E27"/>
    </sheetView>
  </sheetViews>
  <sheetFormatPr baseColWidth="10" defaultRowHeight="15" x14ac:dyDescent="0.25"/>
  <cols>
    <col min="2" max="2" width="15.7109375" customWidth="1"/>
    <col min="3" max="3" width="19" customWidth="1"/>
    <col min="4" max="4" width="64.28515625" bestFit="1" customWidth="1"/>
    <col min="6" max="6" width="11.42578125" customWidth="1"/>
    <col min="8" max="8" width="25.42578125" bestFit="1" customWidth="1"/>
    <col min="9" max="9" width="14.140625" customWidth="1"/>
  </cols>
  <sheetData>
    <row r="3" spans="2:11" ht="15.75" thickBot="1" x14ac:dyDescent="0.3">
      <c r="C3" t="s">
        <v>170</v>
      </c>
      <c r="G3" s="28"/>
      <c r="H3" t="s">
        <v>169</v>
      </c>
    </row>
    <row r="4" spans="2:11" x14ac:dyDescent="0.25">
      <c r="B4" s="104" t="s">
        <v>112</v>
      </c>
      <c r="C4" s="105" t="s">
        <v>113</v>
      </c>
      <c r="D4" s="105" t="s">
        <v>114</v>
      </c>
      <c r="E4" s="105" t="s">
        <v>115</v>
      </c>
      <c r="F4" s="105" t="s">
        <v>116</v>
      </c>
      <c r="G4" s="28"/>
    </row>
    <row r="5" spans="2:11" x14ac:dyDescent="0.25">
      <c r="B5" s="101" t="s">
        <v>117</v>
      </c>
      <c r="C5" s="111" t="s">
        <v>118</v>
      </c>
      <c r="D5" s="106"/>
      <c r="E5" s="107">
        <v>1</v>
      </c>
      <c r="F5" s="106" t="s">
        <v>119</v>
      </c>
      <c r="G5" s="94"/>
      <c r="H5" s="109">
        <v>1</v>
      </c>
    </row>
    <row r="6" spans="2:11" x14ac:dyDescent="0.25">
      <c r="B6" s="101" t="s">
        <v>120</v>
      </c>
      <c r="C6" s="111" t="s">
        <v>121</v>
      </c>
      <c r="D6" s="106"/>
      <c r="E6" s="107">
        <v>5</v>
      </c>
      <c r="F6" s="106" t="s">
        <v>123</v>
      </c>
      <c r="G6" s="94"/>
      <c r="H6" s="109">
        <v>5</v>
      </c>
    </row>
    <row r="7" spans="2:11" x14ac:dyDescent="0.25">
      <c r="B7" s="108" t="s">
        <v>124</v>
      </c>
      <c r="C7" s="108" t="s">
        <v>125</v>
      </c>
      <c r="D7" s="112"/>
      <c r="E7" s="113">
        <v>1</v>
      </c>
      <c r="F7" s="112" t="s">
        <v>126</v>
      </c>
      <c r="G7" s="94"/>
      <c r="H7" s="109" t="s">
        <v>168</v>
      </c>
    </row>
    <row r="8" spans="2:11" x14ac:dyDescent="0.25">
      <c r="B8" s="111" t="s">
        <v>127</v>
      </c>
      <c r="C8" s="111" t="s">
        <v>128</v>
      </c>
      <c r="D8" s="114"/>
      <c r="E8" s="115">
        <v>1</v>
      </c>
      <c r="F8" s="114" t="s">
        <v>129</v>
      </c>
      <c r="G8" s="94"/>
      <c r="H8" s="109">
        <v>1</v>
      </c>
    </row>
    <row r="9" spans="2:11" x14ac:dyDescent="0.25">
      <c r="B9" s="108" t="s">
        <v>130</v>
      </c>
      <c r="C9" s="108" t="s">
        <v>131</v>
      </c>
      <c r="D9" s="112"/>
      <c r="E9" s="113">
        <v>1</v>
      </c>
      <c r="F9" s="112" t="s">
        <v>132</v>
      </c>
      <c r="G9" s="94"/>
      <c r="H9" s="109" t="s">
        <v>168</v>
      </c>
    </row>
    <row r="10" spans="2:11" x14ac:dyDescent="0.25">
      <c r="B10" s="116" t="s">
        <v>107</v>
      </c>
      <c r="C10" s="101" t="s">
        <v>108</v>
      </c>
      <c r="D10" s="106"/>
      <c r="E10" s="107">
        <v>400</v>
      </c>
      <c r="F10" s="106" t="s">
        <v>134</v>
      </c>
      <c r="G10" s="94"/>
      <c r="H10" s="109">
        <v>400</v>
      </c>
    </row>
    <row r="11" spans="2:11" x14ac:dyDescent="0.25">
      <c r="B11" s="101" t="s">
        <v>109</v>
      </c>
      <c r="C11" s="101" t="s">
        <v>110</v>
      </c>
      <c r="D11" s="106"/>
      <c r="E11" s="107">
        <v>11</v>
      </c>
      <c r="F11" s="106" t="s">
        <v>136</v>
      </c>
      <c r="G11" s="94"/>
      <c r="H11" s="109">
        <v>11</v>
      </c>
    </row>
    <row r="12" spans="2:11" ht="15.75" thickBot="1" x14ac:dyDescent="0.3">
      <c r="B12" s="101" t="s">
        <v>137</v>
      </c>
      <c r="C12" s="101" t="s">
        <v>138</v>
      </c>
      <c r="D12" s="106"/>
      <c r="E12" s="107">
        <v>45</v>
      </c>
      <c r="F12" s="106" t="s">
        <v>140</v>
      </c>
      <c r="G12" s="94"/>
      <c r="H12" s="109">
        <v>45</v>
      </c>
    </row>
    <row r="13" spans="2:11" ht="15.75" thickBot="1" x14ac:dyDescent="0.3">
      <c r="B13" s="101" t="s">
        <v>141</v>
      </c>
      <c r="C13" s="101" t="s">
        <v>142</v>
      </c>
      <c r="D13" s="106"/>
      <c r="E13" s="107">
        <v>39</v>
      </c>
      <c r="F13" s="106" t="s">
        <v>144</v>
      </c>
      <c r="G13" s="94"/>
      <c r="H13" s="109">
        <v>26</v>
      </c>
      <c r="I13" t="s">
        <v>171</v>
      </c>
      <c r="J13">
        <v>13</v>
      </c>
      <c r="K13" s="119">
        <f>J13+H13</f>
        <v>39</v>
      </c>
    </row>
    <row r="14" spans="2:11" x14ac:dyDescent="0.25">
      <c r="B14" s="108" t="s">
        <v>103</v>
      </c>
      <c r="C14" s="101" t="s">
        <v>104</v>
      </c>
      <c r="D14" s="106"/>
      <c r="E14" s="107">
        <v>13</v>
      </c>
      <c r="F14" s="106" t="s">
        <v>146</v>
      </c>
      <c r="G14" s="94"/>
      <c r="H14" s="109">
        <v>13</v>
      </c>
      <c r="I14" s="98"/>
    </row>
    <row r="15" spans="2:11" x14ac:dyDescent="0.25">
      <c r="B15" s="108" t="s">
        <v>105</v>
      </c>
      <c r="C15" s="101" t="s">
        <v>106</v>
      </c>
      <c r="D15" s="106"/>
      <c r="E15" s="107">
        <v>52</v>
      </c>
      <c r="F15" s="106" t="s">
        <v>148</v>
      </c>
      <c r="G15" s="94"/>
      <c r="H15" s="109">
        <v>52</v>
      </c>
    </row>
    <row r="16" spans="2:11" x14ac:dyDescent="0.25">
      <c r="B16" s="101" t="s">
        <v>149</v>
      </c>
      <c r="C16" s="101" t="s">
        <v>150</v>
      </c>
      <c r="D16" s="106"/>
      <c r="E16" s="107">
        <v>0</v>
      </c>
      <c r="F16" s="106" t="s">
        <v>152</v>
      </c>
      <c r="G16" s="94"/>
      <c r="H16" s="109">
        <v>0</v>
      </c>
    </row>
    <row r="17" spans="2:8" x14ac:dyDescent="0.25">
      <c r="B17" s="101" t="s">
        <v>153</v>
      </c>
      <c r="C17" s="101" t="s">
        <v>154</v>
      </c>
      <c r="D17" s="106"/>
      <c r="E17" s="107">
        <v>48</v>
      </c>
      <c r="F17" s="106" t="s">
        <v>156</v>
      </c>
      <c r="G17" s="94"/>
      <c r="H17" s="109" t="s">
        <v>164</v>
      </c>
    </row>
    <row r="18" spans="2:8" x14ac:dyDescent="0.25">
      <c r="D18" s="99"/>
      <c r="E18" s="99"/>
      <c r="H18" s="109"/>
    </row>
    <row r="19" spans="2:8" x14ac:dyDescent="0.25">
      <c r="B19" s="100" t="s">
        <v>162</v>
      </c>
      <c r="C19" s="101" t="s">
        <v>161</v>
      </c>
      <c r="D19" s="102"/>
      <c r="E19" s="103"/>
      <c r="F19" s="100"/>
      <c r="H19" s="109">
        <v>26</v>
      </c>
    </row>
    <row r="20" spans="2:8" x14ac:dyDescent="0.25">
      <c r="B20" s="100" t="s">
        <v>160</v>
      </c>
      <c r="C20" s="101" t="s">
        <v>163</v>
      </c>
      <c r="D20" s="102"/>
      <c r="E20" s="103"/>
      <c r="F20" s="100"/>
      <c r="H20" s="109">
        <v>13</v>
      </c>
    </row>
    <row r="21" spans="2:8" x14ac:dyDescent="0.25">
      <c r="D21" s="99"/>
      <c r="E21" s="99"/>
    </row>
    <row r="22" spans="2:8" x14ac:dyDescent="0.25">
      <c r="D22" s="99"/>
      <c r="E22" s="99"/>
    </row>
    <row r="27" spans="2:8" x14ac:dyDescent="0.25">
      <c r="D27" s="131">
        <v>43671</v>
      </c>
      <c r="E27" t="s">
        <v>180</v>
      </c>
    </row>
    <row r="28" spans="2:8" ht="15.75" thickBot="1" x14ac:dyDescent="0.3"/>
    <row r="29" spans="2:8" x14ac:dyDescent="0.25">
      <c r="C29" s="104" t="s">
        <v>112</v>
      </c>
      <c r="D29" s="105" t="s">
        <v>113</v>
      </c>
      <c r="E29" s="105" t="s">
        <v>114</v>
      </c>
      <c r="F29" s="105" t="s">
        <v>115</v>
      </c>
      <c r="G29" s="105" t="s">
        <v>116</v>
      </c>
    </row>
    <row r="30" spans="2:8" x14ac:dyDescent="0.25">
      <c r="C30" s="116" t="s">
        <v>117</v>
      </c>
      <c r="D30" s="116" t="s">
        <v>118</v>
      </c>
      <c r="E30" s="129"/>
      <c r="F30" s="130">
        <v>1</v>
      </c>
      <c r="G30" s="129"/>
    </row>
    <row r="31" spans="2:8" x14ac:dyDescent="0.25">
      <c r="C31" s="116" t="s">
        <v>120</v>
      </c>
      <c r="D31" s="116" t="s">
        <v>121</v>
      </c>
      <c r="E31" s="129"/>
      <c r="F31" s="130">
        <v>5</v>
      </c>
      <c r="G31" s="129"/>
    </row>
    <row r="32" spans="2:8" x14ac:dyDescent="0.25">
      <c r="C32" s="116" t="s">
        <v>127</v>
      </c>
      <c r="D32" s="116" t="s">
        <v>128</v>
      </c>
      <c r="E32" s="129"/>
      <c r="F32" s="130">
        <v>1</v>
      </c>
      <c r="G32" s="129"/>
    </row>
    <row r="33" spans="3:7" x14ac:dyDescent="0.25">
      <c r="C33" s="116" t="s">
        <v>107</v>
      </c>
      <c r="D33" s="116" t="s">
        <v>108</v>
      </c>
      <c r="E33" s="129"/>
      <c r="F33" s="130">
        <v>400</v>
      </c>
      <c r="G33" s="129"/>
    </row>
    <row r="34" spans="3:7" x14ac:dyDescent="0.25">
      <c r="C34" s="116" t="s">
        <v>109</v>
      </c>
      <c r="D34" s="116" t="s">
        <v>110</v>
      </c>
      <c r="E34" s="129"/>
      <c r="F34" s="130">
        <v>11</v>
      </c>
      <c r="G34" s="129"/>
    </row>
    <row r="35" spans="3:7" x14ac:dyDescent="0.25">
      <c r="C35" s="116" t="s">
        <v>137</v>
      </c>
      <c r="D35" s="116" t="s">
        <v>138</v>
      </c>
      <c r="E35" s="129"/>
      <c r="F35" s="130">
        <v>45</v>
      </c>
      <c r="G35" s="129"/>
    </row>
    <row r="36" spans="3:7" x14ac:dyDescent="0.25">
      <c r="C36" s="116" t="s">
        <v>141</v>
      </c>
      <c r="D36" s="116" t="s">
        <v>142</v>
      </c>
      <c r="E36" s="129"/>
      <c r="F36" s="130">
        <v>26</v>
      </c>
      <c r="G36" s="129"/>
    </row>
    <row r="37" spans="3:7" x14ac:dyDescent="0.25">
      <c r="C37" s="116" t="s">
        <v>103</v>
      </c>
      <c r="D37" s="116" t="s">
        <v>104</v>
      </c>
      <c r="E37" s="129"/>
      <c r="F37" s="130">
        <v>13</v>
      </c>
      <c r="G37" s="129"/>
    </row>
    <row r="38" spans="3:7" x14ac:dyDescent="0.25">
      <c r="C38" s="116" t="s">
        <v>105</v>
      </c>
      <c r="D38" s="116" t="s">
        <v>106</v>
      </c>
      <c r="E38" s="129"/>
      <c r="F38" s="130">
        <v>52</v>
      </c>
      <c r="G38" s="129"/>
    </row>
    <row r="39" spans="3:7" x14ac:dyDescent="0.25">
      <c r="C39" s="116" t="s">
        <v>149</v>
      </c>
      <c r="D39" s="116" t="s">
        <v>150</v>
      </c>
      <c r="E39" s="129"/>
      <c r="F39" s="130">
        <v>0</v>
      </c>
      <c r="G39" s="129"/>
    </row>
    <row r="40" spans="3:7" x14ac:dyDescent="0.25">
      <c r="C40" s="116" t="s">
        <v>153</v>
      </c>
      <c r="D40" s="116" t="s">
        <v>154</v>
      </c>
      <c r="E40" s="129"/>
      <c r="F40" s="130">
        <v>48</v>
      </c>
      <c r="G40" s="129"/>
    </row>
    <row r="41" spans="3:7" x14ac:dyDescent="0.25">
      <c r="C41" s="99"/>
      <c r="D41" s="99"/>
      <c r="E41" s="99"/>
      <c r="F41" s="99"/>
      <c r="G41" s="9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Llamado enfermeria y errantes</vt:lpstr>
      <vt:lpstr>entrega a cliente</vt:lpstr>
      <vt:lpstr>aprobado errante</vt:lpstr>
      <vt:lpstr>Hoja1</vt:lpstr>
      <vt:lpstr>A_A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</dc:creator>
  <cp:lastModifiedBy>cyanez</cp:lastModifiedBy>
  <cp:lastPrinted>2017-12-12T13:41:29Z</cp:lastPrinted>
  <dcterms:created xsi:type="dcterms:W3CDTF">2017-12-12T12:34:27Z</dcterms:created>
  <dcterms:modified xsi:type="dcterms:W3CDTF">2019-07-25T22:36:11Z</dcterms:modified>
</cp:coreProperties>
</file>