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EC704C30-DB4F-4378-A7DF-9D1E2A6E4FB3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28" l="1"/>
  <c r="E107" i="28" s="1"/>
  <c r="D103" i="28" l="1"/>
  <c r="E103" i="28" s="1"/>
  <c r="D99" i="28"/>
  <c r="E99" i="28" s="1"/>
  <c r="P36" i="1" l="1"/>
  <c r="P35" i="1"/>
  <c r="P34" i="1"/>
  <c r="P33" i="1"/>
  <c r="P9" i="1"/>
  <c r="D65" i="28"/>
  <c r="E65" i="28" s="1"/>
  <c r="D61" i="28"/>
  <c r="E61" i="28" s="1"/>
  <c r="C57" i="28" l="1"/>
  <c r="D57" i="28" s="1"/>
  <c r="E57" i="28" s="1"/>
  <c r="C53" i="28" l="1"/>
  <c r="D53" i="28" s="1"/>
  <c r="E53" i="28" s="1"/>
  <c r="D50" i="28"/>
  <c r="E50" i="28" s="1"/>
  <c r="C50" i="28"/>
  <c r="C13" i="1" l="1"/>
  <c r="C4" i="1" l="1"/>
  <c r="O9" i="1" l="1"/>
  <c r="S9" i="1"/>
  <c r="T9" i="1"/>
  <c r="D37" i="28"/>
  <c r="E37" i="28" s="1"/>
  <c r="C18" i="28"/>
  <c r="C14" i="1"/>
  <c r="O37" i="1"/>
  <c r="O38" i="1"/>
  <c r="O39" i="1"/>
  <c r="S37" i="1"/>
  <c r="S38" i="1"/>
  <c r="S39" i="1"/>
  <c r="T37" i="1"/>
  <c r="T38" i="1"/>
  <c r="T39" i="1"/>
  <c r="C12" i="1"/>
  <c r="C11" i="1" l="1"/>
  <c r="C10" i="1"/>
  <c r="C44" i="1" s="1"/>
  <c r="O40" i="1"/>
  <c r="O41" i="1"/>
  <c r="S40" i="1"/>
  <c r="S41" i="1"/>
  <c r="T40" i="1"/>
  <c r="T41" i="1"/>
  <c r="D69" i="28" l="1"/>
  <c r="E69" i="28" s="1"/>
  <c r="D73" i="28"/>
  <c r="E73" i="28" s="1"/>
  <c r="O33" i="1"/>
  <c r="O34" i="1"/>
  <c r="O35" i="1"/>
  <c r="S33" i="1"/>
  <c r="S34" i="1"/>
  <c r="S35" i="1"/>
  <c r="T33" i="1"/>
  <c r="T34" i="1"/>
  <c r="T35" i="1"/>
  <c r="D95" i="28"/>
  <c r="E95" i="28" s="1"/>
  <c r="D94" i="28"/>
  <c r="E94" i="28" s="1"/>
  <c r="D93" i="28"/>
  <c r="E93" i="28" s="1"/>
  <c r="D91" i="28"/>
  <c r="E91" i="28" s="1"/>
  <c r="D90" i="28"/>
  <c r="E90" i="28" s="1"/>
  <c r="D89" i="28"/>
  <c r="E89" i="28" s="1"/>
  <c r="D87" i="28"/>
  <c r="E87" i="28" s="1"/>
  <c r="D86" i="28"/>
  <c r="E86" i="28" s="1"/>
  <c r="D85" i="28"/>
  <c r="E85" i="28" s="1"/>
  <c r="D82" i="28"/>
  <c r="E82" i="28" s="1"/>
  <c r="D81" i="28"/>
  <c r="E81" i="28" s="1"/>
  <c r="D78" i="28"/>
  <c r="E78" i="28" s="1"/>
  <c r="D77" i="28"/>
  <c r="E77" i="28" s="1"/>
  <c r="D46" i="28"/>
  <c r="E46" i="28" s="1"/>
  <c r="D45" i="28"/>
  <c r="E45" i="28" s="1"/>
  <c r="D26" i="28" l="1"/>
  <c r="E26" i="28" s="1"/>
  <c r="D23" i="28" l="1"/>
  <c r="E23" i="28" s="1"/>
  <c r="D22" i="28"/>
  <c r="E22" i="28" s="1"/>
  <c r="D21" i="28"/>
  <c r="E21" i="28" s="1"/>
  <c r="D8" i="28"/>
  <c r="E8" i="28" s="1"/>
  <c r="D7" i="28"/>
  <c r="E7" i="28" s="1"/>
  <c r="D13" i="28"/>
  <c r="E13" i="28" s="1"/>
  <c r="D12" i="28"/>
  <c r="E12" i="28" s="1"/>
  <c r="D3" i="28"/>
  <c r="E3" i="28" s="1"/>
  <c r="D13" i="31" l="1"/>
  <c r="G69" i="1" l="1"/>
  <c r="P8" i="1" l="1"/>
  <c r="O8" i="1"/>
  <c r="S8" i="1"/>
  <c r="T8" i="1"/>
  <c r="S16" i="1" l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P22" i="1"/>
  <c r="P21" i="1"/>
  <c r="P20" i="1"/>
  <c r="P19" i="1"/>
  <c r="P18" i="1"/>
  <c r="P17" i="1"/>
  <c r="P16" i="1"/>
  <c r="O22" i="1"/>
  <c r="O21" i="1"/>
  <c r="O20" i="1"/>
  <c r="O19" i="1"/>
  <c r="O18" i="1"/>
  <c r="O17" i="1"/>
  <c r="O16" i="1"/>
  <c r="C15" i="1" l="1"/>
  <c r="G68" i="1" l="1"/>
  <c r="G62" i="1" l="1"/>
  <c r="G67" i="1"/>
  <c r="G66" i="1"/>
  <c r="G65" i="1"/>
  <c r="G64" i="1"/>
  <c r="G63" i="1"/>
  <c r="G61" i="1"/>
  <c r="T5" i="1" l="1"/>
  <c r="T6" i="1"/>
  <c r="T7" i="1"/>
  <c r="T10" i="1"/>
  <c r="T11" i="1"/>
  <c r="T13" i="1"/>
  <c r="T23" i="1"/>
  <c r="T24" i="1"/>
  <c r="T25" i="1"/>
  <c r="T26" i="1"/>
  <c r="T27" i="1"/>
  <c r="T28" i="1"/>
  <c r="T29" i="1"/>
  <c r="T30" i="1"/>
  <c r="T31" i="1"/>
  <c r="T32" i="1"/>
  <c r="T36" i="1"/>
  <c r="T42" i="1"/>
  <c r="S4" i="1"/>
  <c r="S5" i="1"/>
  <c r="S6" i="1"/>
  <c r="S7" i="1"/>
  <c r="S10" i="1"/>
  <c r="S11" i="1"/>
  <c r="S12" i="1"/>
  <c r="S13" i="1"/>
  <c r="S14" i="1"/>
  <c r="S15" i="1"/>
  <c r="S23" i="1"/>
  <c r="S24" i="1"/>
  <c r="S25" i="1"/>
  <c r="S26" i="1"/>
  <c r="S27" i="1"/>
  <c r="S28" i="1"/>
  <c r="S29" i="1"/>
  <c r="S30" i="1"/>
  <c r="S31" i="1"/>
  <c r="S32" i="1"/>
  <c r="S36" i="1"/>
  <c r="S42" i="1"/>
  <c r="H53" i="1"/>
  <c r="O4" i="1"/>
  <c r="O5" i="1"/>
  <c r="O6" i="1"/>
  <c r="O7" i="1"/>
  <c r="O10" i="1"/>
  <c r="O11" i="1"/>
  <c r="O12" i="1"/>
  <c r="O13" i="1"/>
  <c r="O14" i="1"/>
  <c r="O15" i="1"/>
  <c r="O23" i="1"/>
  <c r="O24" i="1"/>
  <c r="O25" i="1"/>
  <c r="O26" i="1"/>
  <c r="O27" i="1"/>
  <c r="O28" i="1"/>
  <c r="O29" i="1"/>
  <c r="O30" i="1"/>
  <c r="O31" i="1"/>
  <c r="O32" i="1"/>
  <c r="O36" i="1"/>
  <c r="O42" i="1"/>
  <c r="P42" i="1" l="1"/>
  <c r="P32" i="1"/>
  <c r="P31" i="1"/>
  <c r="P30" i="1"/>
  <c r="P29" i="1"/>
  <c r="P28" i="1"/>
  <c r="P27" i="1"/>
  <c r="P26" i="1"/>
  <c r="P25" i="1"/>
  <c r="P24" i="1"/>
  <c r="P23" i="1"/>
  <c r="P13" i="1"/>
  <c r="P11" i="1"/>
  <c r="P10" i="1"/>
  <c r="P7" i="1"/>
  <c r="P6" i="1"/>
  <c r="P5" i="1"/>
  <c r="P15" i="1" l="1"/>
  <c r="T15" i="1"/>
  <c r="P14" i="1"/>
  <c r="T14" i="1"/>
  <c r="P12" i="1" l="1"/>
  <c r="T12" i="1"/>
  <c r="T4" i="1" l="1"/>
  <c r="H69" i="1" s="1"/>
  <c r="H63" i="1" l="1"/>
  <c r="H68" i="1"/>
  <c r="H66" i="1"/>
  <c r="H61" i="1"/>
  <c r="H67" i="1"/>
  <c r="H64" i="1"/>
  <c r="H62" i="1"/>
  <c r="H2" i="27"/>
  <c r="H65" i="1"/>
  <c r="H60" i="1"/>
  <c r="P4" i="1"/>
  <c r="I53" i="1" s="1"/>
  <c r="H70" i="1" l="1"/>
  <c r="I45" i="1"/>
  <c r="I48" i="1"/>
  <c r="J48" i="1" s="1"/>
  <c r="I52" i="1"/>
  <c r="J52" i="1" s="1"/>
  <c r="I51" i="1"/>
  <c r="J51" i="1" s="1"/>
  <c r="I47" i="1"/>
  <c r="J47" i="1" s="1"/>
  <c r="I46" i="1"/>
  <c r="I50" i="1"/>
  <c r="J50" i="1" s="1"/>
  <c r="I49" i="1"/>
  <c r="J49" i="1" s="1"/>
  <c r="D33" i="28"/>
  <c r="E33" i="28" s="1"/>
  <c r="D32" i="28"/>
  <c r="E32" i="28" s="1"/>
  <c r="D31" i="28"/>
  <c r="E31" i="28" s="1"/>
  <c r="J45" i="1" l="1"/>
  <c r="I54" i="1"/>
  <c r="D18" i="28"/>
  <c r="E18" i="28" s="1"/>
  <c r="C6" i="31" l="1"/>
  <c r="C47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6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10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11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</commentList>
</comments>
</file>

<file path=xl/sharedStrings.xml><?xml version="1.0" encoding="utf-8"?>
<sst xmlns="http://schemas.openxmlformats.org/spreadsheetml/2006/main" count="1748" uniqueCount="468">
  <si>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</si>
  <si>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</si>
  <si>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</si>
  <si>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</si>
  <si>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</si>
  <si>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</si>
  <si>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</si>
  <si>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</si>
  <si>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</si>
  <si>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</si>
  <si>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</si>
  <si>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</si>
  <si>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</si>
  <si>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</si>
  <si>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</si>
  <si>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</si>
  <si>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</si>
  <si>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</si>
  <si>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</si>
  <si>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</si>
  <si>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</si>
  <si>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</si>
  <si>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</si>
  <si>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</si>
  <si>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</si>
  <si>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</si>
  <si>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</si>
  <si>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</si>
  <si>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</si>
  <si>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</si>
  <si>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</si>
  <si>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</si>
  <si>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</si>
  <si>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</si>
  <si>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</si>
  <si>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</si>
  <si>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</si>
  <si>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</si>
  <si>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</si>
  <si>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</si>
  <si>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</si>
  <si>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</si>
  <si>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</si>
  <si>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</si>
  <si>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</si>
  <si>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</si>
  <si>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</si>
  <si>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</si>
  <si>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</si>
  <si>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</si>
  <si>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</si>
  <si>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</si>
  <si>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</si>
  <si>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</si>
  <si>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</si>
  <si>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</si>
  <si>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</si>
  <si>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</si>
  <si>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</si>
  <si>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</si>
  <si>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</si>
  <si>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</si>
  <si>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</si>
  <si>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</si>
  <si>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</si>
  <si>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</si>
  <si>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</si>
  <si>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</si>
  <si>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</si>
  <si>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</si>
  <si>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</si>
  <si>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</si>
  <si>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</si>
  <si>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</si>
  <si>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</si>
  <si>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</si>
  <si>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</si>
  <si>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</si>
  <si>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</si>
  <si>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</si>
  <si>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</si>
  <si>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</si>
  <si>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</si>
  <si>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</si>
  <si>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</si>
  <si>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</si>
  <si>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</si>
  <si>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</si>
  <si>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</si>
  <si>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</si>
  <si>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</si>
  <si>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</si>
  <si>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</si>
  <si>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</si>
  <si>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</si>
  <si>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</si>
  <si>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</si>
  <si>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</si>
  <si>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</si>
  <si>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</si>
  <si>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</si>
  <si>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</si>
  <si>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</si>
  <si>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</si>
  <si>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</si>
  <si>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</si>
  <si>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</si>
  <si>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</si>
  <si>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</si>
  <si>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</si>
  <si>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</si>
  <si>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</si>
  <si>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</si>
  <si>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</si>
  <si>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</si>
  <si>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</si>
  <si>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</si>
  <si>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</si>
  <si>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</si>
  <si>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</si>
  <si>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</si>
  <si>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</si>
  <si>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</si>
  <si>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</si>
  <si>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</si>
  <si>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</si>
  <si>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</si>
  <si>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</si>
  <si>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</si>
  <si>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</si>
  <si>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</si>
  <si>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</si>
  <si>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</si>
  <si>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</si>
  <si>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</si>
  <si>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</si>
  <si>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</si>
  <si>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</si>
  <si>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</si>
  <si>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</si>
  <si>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</si>
  <si>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</si>
  <si>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</si>
  <si>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</si>
  <si>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</si>
  <si>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</si>
  <si>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</si>
  <si>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</si>
  <si>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</si>
  <si>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</si>
  <si>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</si>
  <si>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</si>
  <si>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</si>
  <si>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</si>
  <si>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</si>
  <si>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</si>
  <si>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</si>
  <si>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</si>
  <si>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</si>
  <si>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</si>
  <si>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</si>
  <si>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</si>
  <si>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</si>
  <si>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</si>
  <si>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</si>
  <si>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</si>
  <si>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</si>
  <si>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</si>
  <si>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</si>
  <si>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</si>
  <si>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</si>
  <si>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</si>
  <si>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</si>
  <si>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</si>
  <si>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</si>
  <si>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</si>
  <si>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</si>
  <si>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</si>
  <si>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</si>
  <si>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</si>
  <si>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</si>
  <si>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</si>
  <si>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</si>
  <si>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</si>
  <si>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</si>
  <si>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</si>
  <si>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</si>
  <si>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</si>
  <si>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</si>
  <si>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</si>
  <si>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</si>
  <si>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</si>
  <si>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</si>
  <si>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</si>
  <si>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</si>
  <si>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</si>
  <si>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</si>
  <si>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</si>
  <si>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</si>
  <si>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</si>
  <si>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</si>
  <si>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</si>
  <si>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</si>
  <si>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</si>
  <si>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</si>
  <si>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</si>
  <si>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</si>
  <si>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</si>
  <si>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</si>
  <si>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</si>
  <si>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</si>
  <si>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</si>
  <si>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</si>
  <si>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</si>
  <si>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</si>
  <si>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</si>
  <si>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</si>
  <si>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</si>
  <si>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</si>
  <si>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</si>
  <si>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</si>
  <si>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</si>
  <si>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</si>
  <si>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</si>
  <si>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</si>
  <si>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</si>
  <si>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</si>
  <si>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</si>
  <si>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</si>
  <si>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</si>
  <si>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</si>
  <si>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</si>
  <si>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</si>
  <si>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</si>
  <si>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</si>
  <si>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</si>
  <si>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</si>
  <si>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</si>
  <si>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</si>
  <si>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</si>
  <si>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</si>
  <si>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</si>
  <si>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</si>
  <si>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</si>
  <si>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</si>
  <si>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</si>
  <si>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</si>
  <si>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</si>
  <si>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</si>
  <si>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</si>
  <si>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</si>
  <si>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</si>
  <si>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</si>
  <si>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</si>
  <si>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</si>
  <si>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</si>
  <si>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</si>
  <si>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</si>
  <si>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</si>
  <si>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</si>
  <si>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</si>
  <si>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</si>
  <si>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</si>
  <si>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</si>
  <si>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</si>
  <si>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</si>
  <si>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</si>
  <si>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</si>
  <si>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</si>
  <si>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</si>
  <si>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</si>
  <si>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</si>
  <si>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</si>
  <si>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</si>
  <si>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</si>
  <si>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</si>
  <si>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</si>
  <si>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</si>
  <si>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</si>
  <si>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</si>
  <si>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</si>
  <si>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</si>
  <si>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</si>
  <si>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</si>
  <si>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</si>
  <si>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</si>
  <si>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</si>
  <si>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</si>
  <si>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</si>
  <si>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</si>
  <si>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</si>
  <si>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</si>
  <si>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</si>
  <si>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</si>
  <si>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</si>
  <si>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</si>
  <si>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</si>
  <si>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</si>
  <si>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</si>
  <si>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</si>
  <si>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</si>
  <si>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</si>
  <si>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</si>
  <si>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</si>
  <si>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</si>
  <si>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</si>
  <si>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</si>
  <si>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</si>
  <si>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</si>
  <si>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</si>
  <si>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</si>
  <si>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</si>
  <si>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</si>
  <si>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</si>
  <si>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</si>
  <si>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</si>
  <si>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</si>
  <si>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</si>
  <si>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</si>
  <si>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</si>
  <si>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</si>
  <si>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</si>
  <si>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</si>
  <si>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</si>
  <si>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</si>
  <si>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</si>
  <si>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</si>
  <si>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</si>
  <si>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</si>
  <si>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</si>
  <si>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</si>
  <si>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</si>
  <si>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</si>
  <si>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</si>
  <si>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</si>
  <si>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</si>
  <si>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</si>
  <si>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</si>
  <si>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</si>
  <si>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</si>
  <si>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</si>
  <si>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</si>
  <si>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</si>
  <si>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</si>
  <si>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 xml:space="preserve">Observación:  </t>
  </si>
  <si>
    <t>Franco Pavez</t>
  </si>
  <si>
    <t>Pedro Valencia</t>
  </si>
  <si>
    <t>Jonathan Villamizar</t>
  </si>
  <si>
    <t>Ricardo Bravo</t>
  </si>
  <si>
    <t>Convenio Mantención Trinity junio 2023 (05/12)</t>
  </si>
  <si>
    <t>F Pavez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</si>
  <si>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</si>
  <si>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</si>
  <si>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</si>
  <si>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</si>
  <si>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</si>
  <si>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</si>
  <si>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</si>
  <si>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</si>
  <si>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</si>
  <si>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</si>
  <si>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</si>
  <si>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</si>
  <si>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</si>
  <si>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</si>
  <si>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</si>
  <si>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</si>
  <si>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</si>
  <si>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</si>
  <si>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</si>
  <si>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</si>
  <si>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</si>
  <si>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CLINICA UNIVERSIDAD DE LOS ANDES</t>
  </si>
  <si>
    <t>MANTENCION MES MAYO 2023 5/12</t>
  </si>
  <si>
    <t>MANTENCION MES JUNIO 2023 6/12</t>
  </si>
  <si>
    <t>Contrato Mantención junio 2023 cuota /24</t>
  </si>
  <si>
    <t>Contrato Soporte junio 2023 cuota /24</t>
  </si>
  <si>
    <t xml:space="preserve"> Pedal doble para equipo laser. EBM000473.00</t>
  </si>
  <si>
    <t>Contrato Mantención Laser Mayo 23 (6/24)</t>
  </si>
  <si>
    <t>Contrato Mantención Laser junio 23 (7/24)</t>
  </si>
  <si>
    <t>HOSPITAL BASE VALDIVIA</t>
  </si>
  <si>
    <t xml:space="preserve">KIT CAUDALIMETRO RAPIDO - Kit sensor de flujo EAQ001715.00 </t>
  </si>
  <si>
    <t>1057547-7457- SE23</t>
  </si>
  <si>
    <t>1057439-3136- SE23</t>
  </si>
  <si>
    <t>1057439-3136-SE23</t>
  </si>
  <si>
    <t>Clinica Santa María</t>
  </si>
  <si>
    <t>Reparación Calefactor Convestivo serie 6056</t>
  </si>
  <si>
    <t>MUTUAL DE SEGURIDAD CChC</t>
  </si>
  <si>
    <t>R5K WATERPROOF PULCORD SPANISH   R5KPC11WPS</t>
  </si>
  <si>
    <t>Soc Transp Aeromedico Crítico</t>
  </si>
  <si>
    <t>Spare Part Display LCM board , Bottom Reinforced</t>
  </si>
  <si>
    <t>CONT. MANT. LASER URO. JUL/2023</t>
  </si>
  <si>
    <t>Pedal laser H-30</t>
  </si>
  <si>
    <t>HOTELERA AMBAR RESIDENCE SPA</t>
  </si>
  <si>
    <t>Visita Técnica</t>
  </si>
  <si>
    <t>52-00183368</t>
  </si>
  <si>
    <t>OC 4300148646</t>
  </si>
  <si>
    <t>52-00183479</t>
  </si>
  <si>
    <t>OC 7</t>
  </si>
  <si>
    <t>52-00180203</t>
  </si>
  <si>
    <t>Clinica Ciudad del Mar</t>
  </si>
  <si>
    <t>CM 11852</t>
  </si>
  <si>
    <t>Reparación Calefactor Convectivo</t>
  </si>
  <si>
    <t>OC  CM 11852</t>
  </si>
  <si>
    <t>52-00183544</t>
  </si>
  <si>
    <t>Clínica Santa María</t>
  </si>
  <si>
    <t>OC 903026</t>
  </si>
  <si>
    <t>52-00181880</t>
  </si>
  <si>
    <t>OC 901752</t>
  </si>
  <si>
    <t>52-00182647</t>
  </si>
  <si>
    <t>OC 424776</t>
  </si>
  <si>
    <t>52-00172624</t>
  </si>
  <si>
    <t>SPI 30226</t>
  </si>
  <si>
    <t>Reparación Calefactor Convectivo 5941</t>
  </si>
  <si>
    <t>SPI 30233</t>
  </si>
  <si>
    <t>52-00173174</t>
  </si>
  <si>
    <t>OC SPI 30233</t>
  </si>
  <si>
    <t>Reparación Calefactor Convectivo 5954</t>
  </si>
  <si>
    <t>Reparación Calefactor Convectivo 5947</t>
  </si>
  <si>
    <t>SPI 30232</t>
  </si>
  <si>
    <t>52-00173173</t>
  </si>
  <si>
    <t>OC SPI 30232</t>
  </si>
  <si>
    <t>Reparación Calefactor Convectivo 5942</t>
  </si>
  <si>
    <t>SPI 30231</t>
  </si>
  <si>
    <t>52-00172620</t>
  </si>
  <si>
    <t>OC SPI 30231</t>
  </si>
  <si>
    <t>Reparación Calefactor Convectivo 5948</t>
  </si>
  <si>
    <t>SPI 30230</t>
  </si>
  <si>
    <t>52-00172621</t>
  </si>
  <si>
    <t>OC SPI 30230</t>
  </si>
  <si>
    <t>Reparación Calefactor Convectivo 5933</t>
  </si>
  <si>
    <t>SPI 30228</t>
  </si>
  <si>
    <t>52-00172623</t>
  </si>
  <si>
    <t>OC SPI 30228</t>
  </si>
  <si>
    <t>Reparación Calefactor Convectivo 10027</t>
  </si>
  <si>
    <t>SPI 30227</t>
  </si>
  <si>
    <t>52-00172622</t>
  </si>
  <si>
    <t>OC SPI 30227</t>
  </si>
  <si>
    <t>Hospital de Castro</t>
  </si>
  <si>
    <t>Mantención Laser Cyber</t>
  </si>
  <si>
    <t>Mantención Laser Litho</t>
  </si>
  <si>
    <t>52-00182643</t>
  </si>
  <si>
    <t>HES 1000100277</t>
  </si>
  <si>
    <t>Contrato Mantención Laser julio 23 (7824)</t>
  </si>
  <si>
    <t>Contrato Mantención Laser julio  23 (1/3)</t>
  </si>
  <si>
    <t>Contrato Mantención Fibroscan jun 23 (18/24)</t>
  </si>
  <si>
    <t>Contrato mantención Trinity mes  julio 2023 (cuota 1/11)</t>
  </si>
  <si>
    <t>UROFUSION SPA</t>
  </si>
  <si>
    <t>76. 926.576-7</t>
  </si>
  <si>
    <t>del 17-05-2023</t>
  </si>
  <si>
    <t>1554-1423- SE23</t>
  </si>
  <si>
    <t>1057439-3583-SE23</t>
  </si>
  <si>
    <t>cenc</t>
  </si>
  <si>
    <t>52-00188604</t>
  </si>
  <si>
    <t>Contrato Mantención Fibroscan</t>
  </si>
  <si>
    <t>52-00188603</t>
  </si>
  <si>
    <t>HES 1000171680</t>
  </si>
  <si>
    <t>52-00188584</t>
  </si>
  <si>
    <t>HES 1000100276</t>
  </si>
  <si>
    <t>52-00188586</t>
  </si>
  <si>
    <t>52-00188587</t>
  </si>
  <si>
    <t>MANTENCION MES JULIO 2023 7/12</t>
  </si>
  <si>
    <t>52-00188656</t>
  </si>
  <si>
    <t>52-00188663</t>
  </si>
  <si>
    <t>52-00188751</t>
  </si>
  <si>
    <t>mes  julio 2023 (cuota 1/11)</t>
  </si>
  <si>
    <t>Contrato mantención Focal One, Julio 2023</t>
  </si>
  <si>
    <t>Contrato mantención Sonolith,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</si>
</sst>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8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39" fillId="2" borderId="1" xfId="952" applyNumberFormat="1" applyFont="1" applyFill="1" applyBorder="1" applyAlignment="1">
      <alignment horizontal="center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1" fillId="2" borderId="1" xfId="952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/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50" fillId="0" borderId="0" xfId="0" applyFont="1"/>
    <xf numFmtId="0" fontId="50" fillId="0" borderId="0" xfId="0" applyFont="1" applyAlignment="1">
      <alignment horizontal="center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9" fontId="39" fillId="2" borderId="20" xfId="952" applyNumberFormat="1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50" fillId="2" borderId="1" xfId="0" applyFont="1" applyFill="1" applyBorder="1" applyAlignment="1">
      <alignment horizontal="right"/>
    </xf>
    <xf numFmtId="0" fontId="22" fillId="2" borderId="1" xfId="0" applyFont="1" applyFill="1" applyBorder="1" applyAlignment="1">
      <alignment vertical="center"/>
    </xf>
    <xf numFmtId="0" fontId="39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14" fontId="22" fillId="18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67" fillId="18" borderId="1" xfId="0" applyFont="1" applyFill="1" applyBorder="1" applyAlignment="1">
      <alignment horizontal="center" vertical="center"/>
    </xf>
    <xf numFmtId="14" fontId="0" fillId="0" borderId="0" xfId="0" applyNumberFormat="1"/>
    <xf numFmtId="167" fontId="22" fillId="2" borderId="1" xfId="31" applyNumberFormat="1" applyFont="1" applyFill="1" applyBorder="1" applyAlignment="1">
      <alignment horizontal="center" vertical="center" wrapText="1"/>
    </xf>
    <xf numFmtId="3" fontId="0" fillId="2" borderId="29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 Facturación</a:t>
            </a:r>
          </a:p>
        </c:rich>
      </c:tx>
      <c:layout>
        <c:manualLayout>
          <c:xMode val="edge"/>
          <c:yMode val="edge"/>
          <c:x val="0.1846804461942257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420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'!$G$61:$G$69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'!$H$61:$H$69</c:f>
              <c:numCache>
                <c:formatCode>_("$"* #,##0_);_("$"* \(#,##0\);_("$"* "-"_);_(@_)</c:formatCode>
                <c:ptCount val="9"/>
                <c:pt idx="0">
                  <c:v>4963195</c:v>
                </c:pt>
                <c:pt idx="1">
                  <c:v>414596.72629999998</c:v>
                </c:pt>
                <c:pt idx="2">
                  <c:v>572822.46400000004</c:v>
                </c:pt>
                <c:pt idx="3">
                  <c:v>7277591</c:v>
                </c:pt>
                <c:pt idx="4">
                  <c:v>352305</c:v>
                </c:pt>
                <c:pt idx="5">
                  <c:v>0</c:v>
                </c:pt>
                <c:pt idx="6">
                  <c:v>995438</c:v>
                </c:pt>
                <c:pt idx="7">
                  <c:v>14847113.078600001</c:v>
                </c:pt>
                <c:pt idx="8">
                  <c:v>4094592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54</xdr:row>
      <xdr:rowOff>42862</xdr:rowOff>
    </xdr:from>
    <xdr:to>
      <xdr:col>4</xdr:col>
      <xdr:colOff>85725</xdr:colOff>
      <xdr:row>68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42" totalsRowShown="0" headerRowDxfId="22" dataDxfId="21">
  <sortState xmlns:xlrd2="http://schemas.microsoft.com/office/spreadsheetml/2017/richdata2" ref="A5:S65">
    <sortCondition ref="A3:A73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>
      <calculatedColumnFormula>+Tabla1[[#This Row],[Línea]]</calculatedColumnFormula>
    </tableColumn>
    <tableColumn id="20" xr3:uid="{45DB3574-27B5-41CD-8B8D-DC5F2DD771CD}" name="Columna3" dataDxfId="1" dataCellStyle="Moneda [0]">
      <calculatedColumnFormula>+Tabla1[[#This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32"/>
      <c r="C1" s="432"/>
      <c r="D1" s="432"/>
      <c r="E1" s="432"/>
      <c r="F1" s="432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2"/>
      <c r="D5" s="72"/>
      <c r="E5" s="11" t="s">
        <v>8</v>
      </c>
      <c r="F5" s="8"/>
    </row>
    <row r="6" spans="2:9" ht="15.75" thickBot="1">
      <c r="B6" s="73" t="s">
        <v>9</v>
      </c>
      <c r="C6" s="256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32" t="s">
        <v>294</v>
      </c>
      <c r="C15" s="432"/>
      <c r="D15" s="432"/>
      <c r="E15" s="432"/>
      <c r="F15" s="432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1" t="s">
        <v>233</v>
      </c>
      <c r="D17" s="6"/>
      <c r="E17" s="7" t="s">
        <v>4</v>
      </c>
      <c r="F17" s="6"/>
    </row>
    <row r="18" spans="2:6">
      <c r="B18" s="71" t="s">
        <v>5</v>
      </c>
      <c r="C18" s="281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9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299</v>
      </c>
      <c r="D25" s="192">
        <v>1</v>
      </c>
      <c r="E25" s="203">
        <v>215240</v>
      </c>
      <c r="F25" s="28">
        <f>E25</f>
        <v>215240</v>
      </c>
    </row>
    <row r="26" spans="2:6">
      <c r="B26" s="16"/>
      <c r="C26" s="300"/>
      <c r="D26" s="117"/>
      <c r="E26" s="28" t="s">
        <v>18</v>
      </c>
      <c r="F26" s="28">
        <f>F25</f>
        <v>215240</v>
      </c>
    </row>
    <row r="29" spans="2:6">
      <c r="B29" s="432" t="s">
        <v>259</v>
      </c>
      <c r="C29" s="432"/>
      <c r="D29" s="432"/>
      <c r="E29" s="432"/>
      <c r="F29" s="432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81" t="s">
        <v>158</v>
      </c>
      <c r="D31" s="6"/>
      <c r="E31" s="7" t="s">
        <v>4</v>
      </c>
      <c r="F31" s="6"/>
    </row>
    <row r="32" spans="2:6">
      <c r="B32" s="173" t="s">
        <v>5</v>
      </c>
      <c r="C32" s="281" t="s">
        <v>218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69">
        <v>190453</v>
      </c>
      <c r="D34" s="6"/>
      <c r="E34" s="18"/>
      <c r="F34" s="6"/>
    </row>
    <row r="35" spans="2:6">
      <c r="B35" s="173" t="s">
        <v>10</v>
      </c>
      <c r="C35" s="106" t="s">
        <v>219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72" t="s">
        <v>260</v>
      </c>
      <c r="D39" s="273">
        <v>1</v>
      </c>
      <c r="E39" s="271">
        <v>397727</v>
      </c>
      <c r="F39" s="28">
        <f>E39*D39</f>
        <v>397727</v>
      </c>
    </row>
    <row r="40" spans="2:6">
      <c r="B40" s="16"/>
      <c r="C40" s="298"/>
      <c r="D40" s="28"/>
      <c r="E40" s="28" t="s">
        <v>18</v>
      </c>
      <c r="F40" s="28">
        <f>F39</f>
        <v>397727</v>
      </c>
    </row>
    <row r="42" spans="2:6">
      <c r="B42" s="432" t="s">
        <v>283</v>
      </c>
      <c r="C42" s="432"/>
      <c r="D42" s="432"/>
      <c r="E42" s="432"/>
      <c r="F42" s="432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70" t="s">
        <v>69</v>
      </c>
      <c r="D44" s="6"/>
      <c r="E44" s="7" t="s">
        <v>4</v>
      </c>
      <c r="F44" s="6"/>
    </row>
    <row r="45" spans="2:6">
      <c r="B45" s="71" t="s">
        <v>5</v>
      </c>
      <c r="C45" s="270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1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9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4" t="s">
        <v>16</v>
      </c>
      <c r="F51" s="75" t="s">
        <v>17</v>
      </c>
    </row>
    <row r="52" spans="2:6" ht="15.75" thickBot="1">
      <c r="B52" s="137">
        <v>3200000000</v>
      </c>
      <c r="C52" s="106" t="s">
        <v>284</v>
      </c>
      <c r="D52" s="332">
        <v>1</v>
      </c>
      <c r="E52" s="181">
        <v>299121</v>
      </c>
      <c r="F52" s="267">
        <v>299121</v>
      </c>
    </row>
    <row r="53" spans="2:6">
      <c r="B53" s="298"/>
      <c r="C53" s="298"/>
      <c r="D53" s="192"/>
      <c r="E53" s="325"/>
      <c r="F53" s="267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07"/>
  <sheetViews>
    <sheetView topLeftCell="A88" workbookViewId="0">
      <selection activeCell="H107" sqref="H107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8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6" t="s">
        <v>310</v>
      </c>
      <c r="E1"/>
    </row>
    <row r="2" spans="1:9">
      <c r="B2" s="350" t="s">
        <v>301</v>
      </c>
      <c r="C2" s="350" t="s">
        <v>303</v>
      </c>
      <c r="D2" s="350" t="s">
        <v>304</v>
      </c>
      <c r="E2" s="350" t="s">
        <v>305</v>
      </c>
      <c r="F2" s="362" t="s">
        <v>306</v>
      </c>
      <c r="G2" s="362" t="s">
        <v>307</v>
      </c>
      <c r="H2" s="362" t="s">
        <v>308</v>
      </c>
      <c r="I2" s="350" t="s">
        <v>309</v>
      </c>
    </row>
    <row r="3" spans="1:9">
      <c r="B3" s="373" t="s">
        <v>338</v>
      </c>
      <c r="C3" s="370">
        <v>924800</v>
      </c>
      <c r="D3" s="349">
        <f>+C3*19%</f>
        <v>175712</v>
      </c>
      <c r="E3" s="351">
        <f>+C3+D3</f>
        <v>1100512</v>
      </c>
      <c r="F3" s="278">
        <v>310522</v>
      </c>
      <c r="G3" s="278">
        <v>245664</v>
      </c>
      <c r="H3" s="278" t="s">
        <v>395</v>
      </c>
      <c r="I3" s="278" t="s">
        <v>396</v>
      </c>
    </row>
    <row r="6" spans="1:9">
      <c r="B6" s="350" t="s">
        <v>301</v>
      </c>
      <c r="C6" s="350" t="s">
        <v>303</v>
      </c>
      <c r="D6" s="350" t="s">
        <v>304</v>
      </c>
      <c r="E6" s="350" t="s">
        <v>305</v>
      </c>
      <c r="F6" s="362" t="s">
        <v>306</v>
      </c>
      <c r="G6" s="362" t="s">
        <v>307</v>
      </c>
      <c r="H6" s="362" t="s">
        <v>308</v>
      </c>
      <c r="I6" s="350" t="s">
        <v>309</v>
      </c>
    </row>
    <row r="7" spans="1:9">
      <c r="B7" s="436" t="s">
        <v>400</v>
      </c>
      <c r="C7" s="370">
        <v>300000</v>
      </c>
      <c r="D7" s="349">
        <f>+C7*19%</f>
        <v>57000</v>
      </c>
      <c r="E7" s="351">
        <f>+C7+D7</f>
        <v>357000</v>
      </c>
      <c r="F7" s="278">
        <v>307270</v>
      </c>
      <c r="G7" s="278">
        <v>242712</v>
      </c>
      <c r="H7" s="278" t="s">
        <v>399</v>
      </c>
      <c r="I7" s="278" t="s">
        <v>403</v>
      </c>
    </row>
    <row r="8" spans="1:9">
      <c r="B8" s="436"/>
      <c r="C8" s="370">
        <v>295555</v>
      </c>
      <c r="D8" s="349">
        <f>+C8*19%</f>
        <v>56155.45</v>
      </c>
      <c r="E8" s="351">
        <f>+C8+D8</f>
        <v>351710.45</v>
      </c>
      <c r="F8" s="278">
        <v>307270</v>
      </c>
      <c r="G8" s="278">
        <v>242712</v>
      </c>
      <c r="H8" s="278" t="s">
        <v>399</v>
      </c>
      <c r="I8" s="278" t="s">
        <v>403</v>
      </c>
    </row>
    <row r="11" spans="1:9">
      <c r="B11" s="350" t="s">
        <v>301</v>
      </c>
      <c r="C11" s="350" t="s">
        <v>303</v>
      </c>
      <c r="D11" s="350" t="s">
        <v>304</v>
      </c>
      <c r="E11" s="350" t="s">
        <v>305</v>
      </c>
      <c r="F11" s="362" t="s">
        <v>306</v>
      </c>
      <c r="G11" s="362" t="s">
        <v>307</v>
      </c>
      <c r="H11" s="362" t="s">
        <v>308</v>
      </c>
      <c r="I11" s="350" t="s">
        <v>309</v>
      </c>
    </row>
    <row r="12" spans="1:9">
      <c r="B12" s="436" t="s">
        <v>389</v>
      </c>
      <c r="C12" s="370">
        <v>245520</v>
      </c>
      <c r="D12" s="349">
        <f>+C12*19%</f>
        <v>46648.800000000003</v>
      </c>
      <c r="E12" s="351">
        <f>+C12+D12</f>
        <v>292168.8</v>
      </c>
      <c r="F12" s="278">
        <v>310635</v>
      </c>
      <c r="G12" s="278">
        <v>245441</v>
      </c>
      <c r="H12" s="278" t="s">
        <v>397</v>
      </c>
      <c r="I12" s="278" t="s">
        <v>398</v>
      </c>
    </row>
    <row r="13" spans="1:9">
      <c r="B13" s="436"/>
      <c r="C13" s="370">
        <v>106785</v>
      </c>
      <c r="D13" s="349">
        <f>+C13*19%</f>
        <v>20289.150000000001</v>
      </c>
      <c r="E13" s="351">
        <f>+C13+D13</f>
        <v>127074.15</v>
      </c>
      <c r="F13" s="278">
        <v>310635</v>
      </c>
      <c r="G13" s="278">
        <v>245441</v>
      </c>
      <c r="H13" s="278" t="s">
        <v>397</v>
      </c>
      <c r="I13" s="278" t="s">
        <v>398</v>
      </c>
    </row>
    <row r="17" spans="2:9">
      <c r="B17" s="350" t="s">
        <v>301</v>
      </c>
      <c r="C17" s="350" t="s">
        <v>303</v>
      </c>
      <c r="D17" s="350" t="s">
        <v>304</v>
      </c>
      <c r="E17" s="350" t="s">
        <v>305</v>
      </c>
      <c r="F17" s="362" t="s">
        <v>306</v>
      </c>
      <c r="G17" s="362" t="s">
        <v>307</v>
      </c>
      <c r="H17" s="362" t="s">
        <v>308</v>
      </c>
      <c r="I17" s="350" t="s">
        <v>309</v>
      </c>
    </row>
    <row r="18" spans="2:9">
      <c r="B18" s="373" t="s">
        <v>39</v>
      </c>
      <c r="C18" s="328">
        <f>125*36088.28</f>
        <v>4511035</v>
      </c>
      <c r="D18" s="349">
        <f>+C18*19%</f>
        <v>857096.65</v>
      </c>
      <c r="E18" s="351">
        <f>+C18+D18</f>
        <v>5368131.6500000004</v>
      </c>
      <c r="F18" s="278">
        <v>309786</v>
      </c>
      <c r="G18" s="278">
        <v>244944</v>
      </c>
      <c r="H18" s="278" t="s">
        <v>441</v>
      </c>
      <c r="I18" s="278" t="s">
        <v>442</v>
      </c>
    </row>
    <row r="20" spans="2:9">
      <c r="B20" s="350" t="s">
        <v>301</v>
      </c>
      <c r="C20" s="350" t="s">
        <v>303</v>
      </c>
      <c r="D20" s="350" t="s">
        <v>304</v>
      </c>
      <c r="E20" s="350" t="s">
        <v>305</v>
      </c>
      <c r="F20" s="362" t="s">
        <v>306</v>
      </c>
      <c r="G20" s="362" t="s">
        <v>307</v>
      </c>
      <c r="H20" s="362" t="s">
        <v>308</v>
      </c>
      <c r="I20" s="350" t="s">
        <v>309</v>
      </c>
    </row>
    <row r="21" spans="2:9">
      <c r="B21" s="436" t="s">
        <v>405</v>
      </c>
      <c r="C21" s="370">
        <v>16496</v>
      </c>
      <c r="D21" s="349">
        <f>+C21*19%</f>
        <v>3134.2400000000002</v>
      </c>
      <c r="E21" s="351">
        <f>+C21+D21</f>
        <v>19630.240000000002</v>
      </c>
      <c r="F21" s="278">
        <v>310701</v>
      </c>
      <c r="G21" s="278">
        <v>245642</v>
      </c>
      <c r="H21" s="278" t="s">
        <v>404</v>
      </c>
      <c r="I21" s="278" t="s">
        <v>406</v>
      </c>
    </row>
    <row r="22" spans="2:9">
      <c r="B22" s="436"/>
      <c r="C22" s="370">
        <v>106785</v>
      </c>
      <c r="D22" s="349">
        <f>+C22*19%</f>
        <v>20289.150000000001</v>
      </c>
      <c r="E22" s="351">
        <f>+C22+D22</f>
        <v>127074.15</v>
      </c>
      <c r="F22" s="278">
        <v>310701</v>
      </c>
      <c r="G22" s="278">
        <v>245642</v>
      </c>
      <c r="H22" s="278" t="s">
        <v>404</v>
      </c>
      <c r="I22" s="278" t="s">
        <v>406</v>
      </c>
    </row>
    <row r="23" spans="2:9">
      <c r="B23" s="436"/>
      <c r="C23" s="370">
        <v>295555</v>
      </c>
      <c r="D23" s="349">
        <f>+C23*19%</f>
        <v>56155.45</v>
      </c>
      <c r="E23" s="351">
        <f>+C23+D23</f>
        <v>351710.45</v>
      </c>
      <c r="F23" s="278">
        <v>310701</v>
      </c>
      <c r="G23" s="278">
        <v>245642</v>
      </c>
      <c r="H23" s="278" t="s">
        <v>404</v>
      </c>
      <c r="I23" s="278" t="s">
        <v>406</v>
      </c>
    </row>
    <row r="25" spans="2:9">
      <c r="B25" s="350" t="s">
        <v>301</v>
      </c>
      <c r="C25" s="350" t="s">
        <v>303</v>
      </c>
      <c r="D25" s="350" t="s">
        <v>304</v>
      </c>
      <c r="E25" s="350" t="s">
        <v>305</v>
      </c>
      <c r="F25" s="362" t="s">
        <v>306</v>
      </c>
      <c r="G25" s="362" t="s">
        <v>307</v>
      </c>
      <c r="H25" s="362" t="s">
        <v>308</v>
      </c>
      <c r="I25" s="350" t="s">
        <v>309</v>
      </c>
    </row>
    <row r="26" spans="2:9">
      <c r="B26" s="373" t="s">
        <v>122</v>
      </c>
      <c r="C26" s="328">
        <v>1231500</v>
      </c>
      <c r="D26" s="349">
        <f t="shared" ref="D26" si="0">+C26*19%</f>
        <v>233985</v>
      </c>
      <c r="E26" s="351">
        <f t="shared" ref="E26" si="1">+C26+D26</f>
        <v>1465485</v>
      </c>
      <c r="F26" s="278">
        <v>309001</v>
      </c>
      <c r="G26" s="278">
        <v>244965</v>
      </c>
      <c r="H26" s="278" t="s">
        <v>409</v>
      </c>
      <c r="I26" s="278" t="s">
        <v>410</v>
      </c>
    </row>
    <row r="30" spans="2:9">
      <c r="B30" s="350" t="s">
        <v>301</v>
      </c>
      <c r="C30" s="350" t="s">
        <v>303</v>
      </c>
      <c r="D30" s="350" t="s">
        <v>304</v>
      </c>
      <c r="E30" s="350" t="s">
        <v>305</v>
      </c>
      <c r="F30" s="362" t="s">
        <v>306</v>
      </c>
      <c r="G30" s="362" t="s">
        <v>307</v>
      </c>
      <c r="H30" s="362" t="s">
        <v>308</v>
      </c>
      <c r="I30" s="350" t="s">
        <v>309</v>
      </c>
    </row>
    <row r="31" spans="2:9">
      <c r="B31" s="436" t="s">
        <v>385</v>
      </c>
      <c r="C31" s="370">
        <v>16496</v>
      </c>
      <c r="D31" s="349">
        <f t="shared" ref="D31:D33" si="2">+C31*19%</f>
        <v>3134.2400000000002</v>
      </c>
      <c r="E31" s="351">
        <f t="shared" ref="E31:E33" si="3">+C31+D31</f>
        <v>19630.240000000002</v>
      </c>
      <c r="F31" s="278">
        <v>309001</v>
      </c>
      <c r="G31" s="278">
        <v>244241</v>
      </c>
      <c r="H31" s="278" t="s">
        <v>407</v>
      </c>
      <c r="I31" s="278" t="s">
        <v>408</v>
      </c>
    </row>
    <row r="32" spans="2:9">
      <c r="B32" s="436"/>
      <c r="C32" s="370">
        <v>106785</v>
      </c>
      <c r="D32" s="349">
        <f t="shared" si="2"/>
        <v>20289.150000000001</v>
      </c>
      <c r="E32" s="351">
        <f t="shared" si="3"/>
        <v>127074.15</v>
      </c>
      <c r="F32" s="278">
        <v>309001</v>
      </c>
      <c r="G32" s="278">
        <v>244241</v>
      </c>
      <c r="H32" s="278" t="s">
        <v>407</v>
      </c>
      <c r="I32" s="278" t="s">
        <v>408</v>
      </c>
    </row>
    <row r="33" spans="2:9">
      <c r="B33" s="436"/>
      <c r="C33" s="370">
        <v>295555</v>
      </c>
      <c r="D33" s="349">
        <f t="shared" si="2"/>
        <v>56155.45</v>
      </c>
      <c r="E33" s="351">
        <f t="shared" si="3"/>
        <v>351710.45</v>
      </c>
      <c r="F33" s="278">
        <v>309001</v>
      </c>
      <c r="G33" s="278">
        <v>244241</v>
      </c>
      <c r="H33" s="278" t="s">
        <v>407</v>
      </c>
      <c r="I33" s="278" t="s">
        <v>408</v>
      </c>
    </row>
    <row r="36" spans="2:9">
      <c r="B36" s="350" t="s">
        <v>301</v>
      </c>
      <c r="C36" s="350" t="s">
        <v>303</v>
      </c>
      <c r="D36" s="350" t="s">
        <v>304</v>
      </c>
      <c r="E36" s="350" t="s">
        <v>305</v>
      </c>
      <c r="F36" s="362" t="s">
        <v>306</v>
      </c>
      <c r="G36" s="362" t="s">
        <v>307</v>
      </c>
      <c r="H36" s="362" t="s">
        <v>308</v>
      </c>
      <c r="I36" s="350" t="s">
        <v>309</v>
      </c>
    </row>
    <row r="37" spans="2:9">
      <c r="B37" s="426" t="s">
        <v>122</v>
      </c>
      <c r="C37" s="370">
        <v>1231500</v>
      </c>
      <c r="D37" s="349">
        <f t="shared" ref="D37" si="4">+C37*19%</f>
        <v>233985</v>
      </c>
      <c r="E37" s="351">
        <f t="shared" ref="E37" si="5">+C37+D37</f>
        <v>1465485</v>
      </c>
      <c r="F37" s="278">
        <v>309790</v>
      </c>
      <c r="G37" s="278">
        <v>244965</v>
      </c>
      <c r="H37" s="278" t="s">
        <v>409</v>
      </c>
      <c r="I37" s="278" t="s">
        <v>410</v>
      </c>
    </row>
    <row r="40" spans="2:9">
      <c r="B40" s="350" t="s">
        <v>301</v>
      </c>
      <c r="C40" s="350" t="s">
        <v>303</v>
      </c>
      <c r="D40" s="350" t="s">
        <v>304</v>
      </c>
      <c r="E40" s="350" t="s">
        <v>305</v>
      </c>
      <c r="F40" s="362" t="s">
        <v>306</v>
      </c>
      <c r="G40" s="362" t="s">
        <v>307</v>
      </c>
      <c r="H40" s="362" t="s">
        <v>308</v>
      </c>
      <c r="I40" s="350" t="s">
        <v>309</v>
      </c>
    </row>
    <row r="41" spans="2:9">
      <c r="B41" s="373"/>
      <c r="C41" s="328"/>
      <c r="D41" s="349"/>
      <c r="E41" s="351"/>
      <c r="F41" s="278"/>
      <c r="G41" s="278"/>
      <c r="H41" s="278"/>
      <c r="I41" s="278"/>
    </row>
    <row r="44" spans="2:9">
      <c r="B44" s="350" t="s">
        <v>301</v>
      </c>
      <c r="C44" s="350" t="s">
        <v>303</v>
      </c>
      <c r="D44" s="350" t="s">
        <v>304</v>
      </c>
      <c r="E44" s="350" t="s">
        <v>305</v>
      </c>
      <c r="F44" s="362" t="s">
        <v>306</v>
      </c>
      <c r="G44" s="362" t="s">
        <v>307</v>
      </c>
      <c r="H44" s="362" t="s">
        <v>308</v>
      </c>
      <c r="I44" s="350" t="s">
        <v>309</v>
      </c>
    </row>
    <row r="45" spans="2:9">
      <c r="B45" s="436" t="s">
        <v>342</v>
      </c>
      <c r="C45" s="328">
        <v>295555</v>
      </c>
      <c r="D45" s="349">
        <f t="shared" ref="D45:D46" si="6">+C45*19%</f>
        <v>56155.45</v>
      </c>
      <c r="E45" s="351">
        <f t="shared" ref="E45:E46" si="7">+C45+D45</f>
        <v>351710.45</v>
      </c>
      <c r="F45" s="278">
        <v>302075</v>
      </c>
      <c r="G45" s="278">
        <v>238104</v>
      </c>
      <c r="H45" s="278" t="s">
        <v>411</v>
      </c>
      <c r="I45" s="278" t="s">
        <v>412</v>
      </c>
    </row>
    <row r="46" spans="2:9">
      <c r="B46" s="436"/>
      <c r="C46" s="328">
        <v>16496</v>
      </c>
      <c r="D46" s="349">
        <f t="shared" si="6"/>
        <v>3134.2400000000002</v>
      </c>
      <c r="E46" s="351">
        <f t="shared" si="7"/>
        <v>19630.240000000002</v>
      </c>
      <c r="F46" s="278">
        <v>302075</v>
      </c>
      <c r="G46" s="278">
        <v>238104</v>
      </c>
      <c r="H46" s="278" t="s">
        <v>411</v>
      </c>
      <c r="I46" s="278" t="s">
        <v>412</v>
      </c>
    </row>
    <row r="49" spans="2:9">
      <c r="B49" s="350" t="s">
        <v>301</v>
      </c>
      <c r="C49" s="350" t="s">
        <v>303</v>
      </c>
      <c r="D49" s="350" t="s">
        <v>304</v>
      </c>
      <c r="E49" s="350" t="s">
        <v>305</v>
      </c>
      <c r="F49" s="362" t="s">
        <v>306</v>
      </c>
      <c r="G49" s="362" t="s">
        <v>307</v>
      </c>
      <c r="H49" s="362" t="s">
        <v>308</v>
      </c>
      <c r="I49" s="350" t="s">
        <v>309</v>
      </c>
    </row>
    <row r="50" spans="2:9">
      <c r="B50" s="373" t="s">
        <v>217</v>
      </c>
      <c r="C50" s="328">
        <f>6.88*36049.05</f>
        <v>248017.46400000001</v>
      </c>
      <c r="D50" s="349">
        <f t="shared" ref="D50" si="8">+C50*19%</f>
        <v>47123.318160000003</v>
      </c>
      <c r="E50" s="351">
        <f t="shared" ref="E50" si="9">+C50+D50</f>
        <v>295140.78216</v>
      </c>
      <c r="F50" s="278">
        <v>312032</v>
      </c>
      <c r="G50" s="278">
        <v>247085</v>
      </c>
      <c r="H50" s="278" t="s">
        <v>453</v>
      </c>
      <c r="I50" s="278" t="s">
        <v>454</v>
      </c>
    </row>
    <row r="52" spans="2:9">
      <c r="B52" s="350" t="s">
        <v>301</v>
      </c>
      <c r="C52" s="350" t="s">
        <v>303</v>
      </c>
      <c r="D52" s="350" t="s">
        <v>304</v>
      </c>
      <c r="E52" s="350" t="s">
        <v>305</v>
      </c>
      <c r="F52" s="362" t="s">
        <v>306</v>
      </c>
      <c r="G52" s="362" t="s">
        <v>307</v>
      </c>
      <c r="H52" s="362" t="s">
        <v>308</v>
      </c>
      <c r="I52" s="350" t="s">
        <v>309</v>
      </c>
    </row>
    <row r="53" spans="2:9">
      <c r="B53" s="373" t="s">
        <v>300</v>
      </c>
      <c r="C53" s="430">
        <f>9.54*36093.09</f>
        <v>344328.07859999995</v>
      </c>
      <c r="D53" s="349">
        <f t="shared" ref="D53" si="10">+C53*19%</f>
        <v>65422.334933999991</v>
      </c>
      <c r="E53" s="351">
        <f t="shared" ref="E53" si="11">+C53+D53</f>
        <v>409750.41353399993</v>
      </c>
      <c r="F53" s="278">
        <v>312031</v>
      </c>
      <c r="G53" s="278">
        <v>246991</v>
      </c>
      <c r="H53" s="278" t="s">
        <v>455</v>
      </c>
      <c r="I53" s="278" t="s">
        <v>456</v>
      </c>
    </row>
    <row r="56" spans="2:9">
      <c r="B56" s="350" t="s">
        <v>301</v>
      </c>
      <c r="C56" s="350" t="s">
        <v>303</v>
      </c>
      <c r="D56" s="350" t="s">
        <v>304</v>
      </c>
      <c r="E56" s="350" t="s">
        <v>305</v>
      </c>
      <c r="F56" s="362" t="s">
        <v>306</v>
      </c>
      <c r="G56" s="362" t="s">
        <v>307</v>
      </c>
      <c r="H56" s="362" t="s">
        <v>308</v>
      </c>
      <c r="I56" s="350" t="s">
        <v>309</v>
      </c>
    </row>
    <row r="57" spans="2:9">
      <c r="B57" s="373" t="s">
        <v>39</v>
      </c>
      <c r="C57" s="328">
        <f>800.89*517.67</f>
        <v>414596.72629999998</v>
      </c>
      <c r="D57" s="349">
        <f t="shared" ref="D57" si="12">+C57*19%</f>
        <v>78773.377997000003</v>
      </c>
      <c r="E57" s="351">
        <f t="shared" ref="E57" si="13">+C57+D57</f>
        <v>493370.10429699998</v>
      </c>
      <c r="F57" s="278">
        <v>312011</v>
      </c>
      <c r="G57" s="278">
        <v>244945</v>
      </c>
      <c r="H57" s="278" t="s">
        <v>457</v>
      </c>
      <c r="I57" s="278" t="s">
        <v>458</v>
      </c>
    </row>
    <row r="60" spans="2:9">
      <c r="B60" s="350" t="s">
        <v>301</v>
      </c>
      <c r="C60" s="350" t="s">
        <v>303</v>
      </c>
      <c r="D60" s="350" t="s">
        <v>304</v>
      </c>
      <c r="E60" s="350" t="s">
        <v>305</v>
      </c>
      <c r="F60" s="362" t="s">
        <v>306</v>
      </c>
      <c r="G60" s="362" t="s">
        <v>307</v>
      </c>
      <c r="H60" s="362" t="s">
        <v>308</v>
      </c>
      <c r="I60" s="350" t="s">
        <v>309</v>
      </c>
    </row>
    <row r="61" spans="2:9">
      <c r="B61" s="373" t="s">
        <v>372</v>
      </c>
      <c r="C61" s="328">
        <v>324296</v>
      </c>
      <c r="D61" s="349">
        <f t="shared" ref="D61" si="14">+C61*19%</f>
        <v>61616.24</v>
      </c>
      <c r="E61" s="351">
        <f t="shared" ref="E61" si="15">+C61+D61</f>
        <v>385912.24</v>
      </c>
      <c r="F61" s="278">
        <v>312013</v>
      </c>
      <c r="G61" s="278">
        <v>244477</v>
      </c>
      <c r="H61" s="278" t="s">
        <v>459</v>
      </c>
      <c r="I61" s="278" t="s">
        <v>373</v>
      </c>
    </row>
    <row r="64" spans="2:9">
      <c r="B64" s="350" t="s">
        <v>301</v>
      </c>
      <c r="C64" s="350" t="s">
        <v>303</v>
      </c>
      <c r="D64" s="350" t="s">
        <v>304</v>
      </c>
      <c r="E64" s="350" t="s">
        <v>305</v>
      </c>
      <c r="F64" s="362" t="s">
        <v>306</v>
      </c>
      <c r="G64" s="362" t="s">
        <v>307</v>
      </c>
      <c r="H64" s="362" t="s">
        <v>308</v>
      </c>
      <c r="I64" s="350" t="s">
        <v>309</v>
      </c>
    </row>
    <row r="65" spans="2:9">
      <c r="B65" s="373" t="s">
        <v>372</v>
      </c>
      <c r="C65" s="328">
        <v>324805</v>
      </c>
      <c r="D65" s="349">
        <f t="shared" ref="D65" si="16">+C65*19%</f>
        <v>61712.95</v>
      </c>
      <c r="E65" s="351">
        <f t="shared" ref="E65" si="17">+C65+D65</f>
        <v>386517.95</v>
      </c>
      <c r="F65" s="278">
        <v>312014</v>
      </c>
      <c r="G65" s="278">
        <v>244478</v>
      </c>
      <c r="H65" s="278" t="s">
        <v>460</v>
      </c>
      <c r="I65" s="431" t="s">
        <v>374</v>
      </c>
    </row>
    <row r="68" spans="2:9">
      <c r="B68" s="350" t="s">
        <v>301</v>
      </c>
      <c r="C68" s="350" t="s">
        <v>303</v>
      </c>
      <c r="D68" s="350" t="s">
        <v>304</v>
      </c>
      <c r="E68" s="350" t="s">
        <v>305</v>
      </c>
      <c r="F68" s="362" t="s">
        <v>306</v>
      </c>
      <c r="G68" s="362" t="s">
        <v>307</v>
      </c>
      <c r="H68" s="362" t="s">
        <v>308</v>
      </c>
      <c r="I68" s="350" t="s">
        <v>309</v>
      </c>
    </row>
    <row r="69" spans="2:9">
      <c r="B69" s="423" t="s">
        <v>342</v>
      </c>
      <c r="C69" s="328">
        <v>295555</v>
      </c>
      <c r="D69" s="349">
        <f t="shared" ref="D69" si="18">+C69*19%</f>
        <v>56155.45</v>
      </c>
      <c r="E69" s="351">
        <f t="shared" ref="E69" si="19">+C69+D69</f>
        <v>351710.45</v>
      </c>
      <c r="F69" s="278">
        <v>302073</v>
      </c>
      <c r="G69" s="278">
        <v>238102</v>
      </c>
      <c r="H69" s="278" t="s">
        <v>436</v>
      </c>
      <c r="I69" s="278" t="s">
        <v>437</v>
      </c>
    </row>
    <row r="72" spans="2:9">
      <c r="B72" s="350" t="s">
        <v>301</v>
      </c>
      <c r="C72" s="350" t="s">
        <v>303</v>
      </c>
      <c r="D72" s="350" t="s">
        <v>304</v>
      </c>
      <c r="E72" s="350" t="s">
        <v>305</v>
      </c>
      <c r="F72" s="362" t="s">
        <v>306</v>
      </c>
      <c r="G72" s="362" t="s">
        <v>307</v>
      </c>
      <c r="H72" s="362" t="s">
        <v>308</v>
      </c>
      <c r="I72" s="350" t="s">
        <v>309</v>
      </c>
    </row>
    <row r="73" spans="2:9">
      <c r="B73" s="423" t="s">
        <v>342</v>
      </c>
      <c r="C73" s="328">
        <v>295555</v>
      </c>
      <c r="D73" s="349">
        <f t="shared" ref="D73" si="20">+C73*19%</f>
        <v>56155.45</v>
      </c>
      <c r="E73" s="351">
        <f t="shared" ref="E73" si="21">+C73+D73</f>
        <v>351710.45</v>
      </c>
      <c r="F73" s="278">
        <v>302074</v>
      </c>
      <c r="G73" s="278">
        <v>237958</v>
      </c>
      <c r="H73" s="278" t="s">
        <v>432</v>
      </c>
      <c r="I73" s="278" t="s">
        <v>433</v>
      </c>
    </row>
    <row r="76" spans="2:9">
      <c r="B76" s="350" t="s">
        <v>301</v>
      </c>
      <c r="C76" s="350" t="s">
        <v>303</v>
      </c>
      <c r="D76" s="350" t="s">
        <v>304</v>
      </c>
      <c r="E76" s="350" t="s">
        <v>305</v>
      </c>
      <c r="F76" s="362" t="s">
        <v>306</v>
      </c>
      <c r="G76" s="362" t="s">
        <v>307</v>
      </c>
      <c r="H76" s="362" t="s">
        <v>308</v>
      </c>
      <c r="I76" s="350" t="s">
        <v>309</v>
      </c>
    </row>
    <row r="77" spans="2:9">
      <c r="B77" s="436" t="s">
        <v>342</v>
      </c>
      <c r="C77" s="328">
        <v>295555</v>
      </c>
      <c r="D77" s="349">
        <f t="shared" ref="D77:D78" si="22">+C77*19%</f>
        <v>56155.45</v>
      </c>
      <c r="E77" s="351">
        <f t="shared" ref="E77:E78" si="23">+C77+D77</f>
        <v>351710.45</v>
      </c>
      <c r="F77" s="278">
        <v>302636</v>
      </c>
      <c r="G77" s="278">
        <v>238609</v>
      </c>
      <c r="H77" s="278" t="s">
        <v>415</v>
      </c>
      <c r="I77" s="278" t="s">
        <v>416</v>
      </c>
    </row>
    <row r="78" spans="2:9">
      <c r="B78" s="436"/>
      <c r="C78" s="328">
        <v>16496</v>
      </c>
      <c r="D78" s="349">
        <f t="shared" si="22"/>
        <v>3134.2400000000002</v>
      </c>
      <c r="E78" s="351">
        <f t="shared" si="23"/>
        <v>19630.240000000002</v>
      </c>
      <c r="F78" s="278">
        <v>302636</v>
      </c>
      <c r="G78" s="278">
        <v>238609</v>
      </c>
      <c r="H78" s="278" t="s">
        <v>415</v>
      </c>
      <c r="I78" s="278" t="s">
        <v>416</v>
      </c>
    </row>
    <row r="80" spans="2:9">
      <c r="B80" s="350" t="s">
        <v>301</v>
      </c>
      <c r="C80" s="350" t="s">
        <v>303</v>
      </c>
      <c r="D80" s="350" t="s">
        <v>304</v>
      </c>
      <c r="E80" s="350" t="s">
        <v>305</v>
      </c>
      <c r="F80" s="362" t="s">
        <v>306</v>
      </c>
      <c r="G80" s="362" t="s">
        <v>307</v>
      </c>
      <c r="H80" s="362" t="s">
        <v>308</v>
      </c>
      <c r="I80" s="350" t="s">
        <v>309</v>
      </c>
    </row>
    <row r="81" spans="2:9">
      <c r="B81" s="436" t="s">
        <v>342</v>
      </c>
      <c r="C81" s="328">
        <v>295555</v>
      </c>
      <c r="D81" s="349">
        <f t="shared" ref="D81:D82" si="24">+C81*19%</f>
        <v>56155.45</v>
      </c>
      <c r="E81" s="351">
        <f t="shared" ref="E81:E82" si="25">+C81+D81</f>
        <v>351710.45</v>
      </c>
      <c r="F81" s="278">
        <v>302636</v>
      </c>
      <c r="G81" s="278">
        <v>238609</v>
      </c>
      <c r="H81" s="278" t="s">
        <v>415</v>
      </c>
      <c r="I81" s="278" t="s">
        <v>416</v>
      </c>
    </row>
    <row r="82" spans="2:9">
      <c r="B82" s="436"/>
      <c r="C82" s="328">
        <v>16496</v>
      </c>
      <c r="D82" s="349">
        <f t="shared" si="24"/>
        <v>3134.2400000000002</v>
      </c>
      <c r="E82" s="351">
        <f t="shared" si="25"/>
        <v>19630.240000000002</v>
      </c>
      <c r="F82" s="278">
        <v>302636</v>
      </c>
      <c r="G82" s="278">
        <v>238609</v>
      </c>
      <c r="H82" s="278" t="s">
        <v>415</v>
      </c>
      <c r="I82" s="278" t="s">
        <v>416</v>
      </c>
    </row>
    <row r="85" spans="2:9">
      <c r="B85" s="436" t="s">
        <v>342</v>
      </c>
      <c r="C85" s="328">
        <v>295555</v>
      </c>
      <c r="D85" s="349">
        <f t="shared" ref="D85:D87" si="26">+C85*19%</f>
        <v>56155.45</v>
      </c>
      <c r="E85" s="351">
        <f t="shared" ref="E85:E87" si="27">+C85+D85</f>
        <v>351710.45</v>
      </c>
      <c r="F85" s="278">
        <v>302635</v>
      </c>
      <c r="G85" s="278">
        <v>238615</v>
      </c>
      <c r="H85" s="278" t="s">
        <v>420</v>
      </c>
      <c r="I85" s="278" t="s">
        <v>421</v>
      </c>
    </row>
    <row r="86" spans="2:9">
      <c r="B86" s="436"/>
      <c r="C86" s="328">
        <v>16496</v>
      </c>
      <c r="D86" s="349">
        <f t="shared" si="26"/>
        <v>3134.2400000000002</v>
      </c>
      <c r="E86" s="351">
        <f t="shared" si="27"/>
        <v>19630.240000000002</v>
      </c>
      <c r="F86" s="278">
        <v>302635</v>
      </c>
      <c r="G86" s="278">
        <v>238615</v>
      </c>
      <c r="H86" s="278" t="s">
        <v>420</v>
      </c>
      <c r="I86" s="278" t="s">
        <v>421</v>
      </c>
    </row>
    <row r="87" spans="2:9">
      <c r="B87" s="436"/>
      <c r="C87" s="328">
        <v>170000</v>
      </c>
      <c r="D87" s="349">
        <f t="shared" si="26"/>
        <v>32300</v>
      </c>
      <c r="E87" s="351">
        <f t="shared" si="27"/>
        <v>202300</v>
      </c>
      <c r="F87" s="278">
        <v>302635</v>
      </c>
      <c r="G87" s="278">
        <v>238615</v>
      </c>
      <c r="H87" s="278" t="s">
        <v>420</v>
      </c>
      <c r="I87" s="278" t="s">
        <v>421</v>
      </c>
    </row>
    <row r="89" spans="2:9">
      <c r="B89" s="436" t="s">
        <v>342</v>
      </c>
      <c r="C89" s="328">
        <v>295555</v>
      </c>
      <c r="D89" s="349">
        <f t="shared" ref="D89:D91" si="28">+C89*19%</f>
        <v>56155.45</v>
      </c>
      <c r="E89" s="351">
        <f t="shared" ref="E89:E91" si="29">+C89+D89</f>
        <v>351710.45</v>
      </c>
      <c r="F89" s="278">
        <v>302071</v>
      </c>
      <c r="G89" s="278">
        <v>237955</v>
      </c>
      <c r="H89" s="278" t="s">
        <v>424</v>
      </c>
      <c r="I89" s="278" t="s">
        <v>425</v>
      </c>
    </row>
    <row r="90" spans="2:9">
      <c r="B90" s="436"/>
      <c r="C90" s="328">
        <v>16496</v>
      </c>
      <c r="D90" s="349">
        <f t="shared" si="28"/>
        <v>3134.2400000000002</v>
      </c>
      <c r="E90" s="351">
        <f t="shared" si="29"/>
        <v>19630.240000000002</v>
      </c>
      <c r="F90" s="278">
        <v>302071</v>
      </c>
      <c r="G90" s="278">
        <v>237955</v>
      </c>
      <c r="H90" s="278" t="s">
        <v>424</v>
      </c>
      <c r="I90" s="278" t="s">
        <v>425</v>
      </c>
    </row>
    <row r="91" spans="2:9">
      <c r="B91" s="436"/>
      <c r="C91" s="328">
        <v>170000</v>
      </c>
      <c r="D91" s="349">
        <f t="shared" si="28"/>
        <v>32300</v>
      </c>
      <c r="E91" s="351">
        <f t="shared" si="29"/>
        <v>202300</v>
      </c>
      <c r="F91" s="278">
        <v>302071</v>
      </c>
      <c r="G91" s="278">
        <v>237955</v>
      </c>
      <c r="H91" s="278" t="s">
        <v>424</v>
      </c>
      <c r="I91" s="278" t="s">
        <v>425</v>
      </c>
    </row>
    <row r="93" spans="2:9">
      <c r="B93" s="436" t="s">
        <v>342</v>
      </c>
      <c r="C93" s="328">
        <v>295555</v>
      </c>
      <c r="D93" s="349">
        <f t="shared" ref="D93:D95" si="30">+C93*19%</f>
        <v>56155.45</v>
      </c>
      <c r="E93" s="351">
        <f t="shared" ref="E93:E95" si="31">+C93+D93</f>
        <v>351710.45</v>
      </c>
      <c r="F93" s="278">
        <v>302072</v>
      </c>
      <c r="G93" s="278">
        <v>238100</v>
      </c>
      <c r="H93" s="278" t="s">
        <v>428</v>
      </c>
      <c r="I93" s="278" t="s">
        <v>429</v>
      </c>
    </row>
    <row r="94" spans="2:9">
      <c r="B94" s="436"/>
      <c r="C94" s="328">
        <v>16496</v>
      </c>
      <c r="D94" s="349">
        <f t="shared" si="30"/>
        <v>3134.2400000000002</v>
      </c>
      <c r="E94" s="351">
        <f t="shared" si="31"/>
        <v>19630.240000000002</v>
      </c>
      <c r="F94" s="278">
        <v>302072</v>
      </c>
      <c r="G94" s="278">
        <v>238100</v>
      </c>
      <c r="H94" s="278" t="s">
        <v>428</v>
      </c>
      <c r="I94" s="278" t="s">
        <v>429</v>
      </c>
    </row>
    <row r="95" spans="2:9">
      <c r="B95" s="436"/>
      <c r="C95" s="328">
        <v>170000</v>
      </c>
      <c r="D95" s="349">
        <f t="shared" si="30"/>
        <v>32300</v>
      </c>
      <c r="E95" s="351">
        <f t="shared" si="31"/>
        <v>202300</v>
      </c>
      <c r="F95" s="278">
        <v>302072</v>
      </c>
      <c r="G95" s="278">
        <v>238100</v>
      </c>
      <c r="H95" s="278" t="s">
        <v>428</v>
      </c>
      <c r="I95" s="278" t="s">
        <v>429</v>
      </c>
    </row>
    <row r="98" spans="2:9">
      <c r="B98" s="350" t="s">
        <v>301</v>
      </c>
      <c r="C98" s="350" t="s">
        <v>303</v>
      </c>
      <c r="D98" s="350" t="s">
        <v>304</v>
      </c>
      <c r="E98" s="350" t="s">
        <v>305</v>
      </c>
      <c r="F98" s="362" t="s">
        <v>306</v>
      </c>
      <c r="G98" s="362" t="s">
        <v>307</v>
      </c>
      <c r="H98" s="362" t="s">
        <v>308</v>
      </c>
      <c r="I98" s="350" t="s">
        <v>309</v>
      </c>
    </row>
    <row r="99" spans="2:9">
      <c r="B99" s="373" t="s">
        <v>372</v>
      </c>
      <c r="C99" s="328">
        <v>324441</v>
      </c>
      <c r="D99" s="349">
        <f t="shared" ref="D99" si="32">+C99*19%</f>
        <v>61643.79</v>
      </c>
      <c r="E99" s="351">
        <f t="shared" ref="E99" si="33">+C99+D99</f>
        <v>386084.79</v>
      </c>
      <c r="F99" s="278">
        <v>312085</v>
      </c>
      <c r="G99" s="278">
        <v>247149</v>
      </c>
      <c r="H99" s="278" t="s">
        <v>462</v>
      </c>
      <c r="I99" s="431" t="s">
        <v>461</v>
      </c>
    </row>
    <row r="102" spans="2:9">
      <c r="B102" s="350" t="s">
        <v>301</v>
      </c>
      <c r="C102" s="350" t="s">
        <v>303</v>
      </c>
      <c r="D102" s="350" t="s">
        <v>304</v>
      </c>
      <c r="E102" s="350" t="s">
        <v>305</v>
      </c>
      <c r="F102" s="362" t="s">
        <v>306</v>
      </c>
      <c r="G102" s="362" t="s">
        <v>307</v>
      </c>
      <c r="H102" s="362" t="s">
        <v>308</v>
      </c>
      <c r="I102" s="350" t="s">
        <v>309</v>
      </c>
    </row>
    <row r="103" spans="2:9">
      <c r="B103" s="373" t="s">
        <v>372</v>
      </c>
      <c r="C103" s="328">
        <v>324805</v>
      </c>
      <c r="D103" s="349">
        <f t="shared" ref="D103" si="34">+C103*19%</f>
        <v>61712.95</v>
      </c>
      <c r="E103" s="351">
        <f t="shared" ref="E103" si="35">+C103+D103</f>
        <v>386517.95</v>
      </c>
      <c r="F103" s="278">
        <v>312093</v>
      </c>
      <c r="G103" s="278">
        <v>247154</v>
      </c>
      <c r="H103" s="278" t="s">
        <v>463</v>
      </c>
      <c r="I103" s="431" t="s">
        <v>374</v>
      </c>
    </row>
    <row r="106" spans="2:9">
      <c r="B106" s="350" t="s">
        <v>301</v>
      </c>
      <c r="C106" s="350" t="s">
        <v>303</v>
      </c>
      <c r="D106" s="350" t="s">
        <v>304</v>
      </c>
      <c r="E106" s="350" t="s">
        <v>305</v>
      </c>
      <c r="F106" s="362" t="s">
        <v>306</v>
      </c>
      <c r="G106" s="362" t="s">
        <v>307</v>
      </c>
      <c r="H106" s="362" t="s">
        <v>308</v>
      </c>
      <c r="I106" s="350" t="s">
        <v>309</v>
      </c>
    </row>
    <row r="107" spans="2:9">
      <c r="B107" s="373" t="s">
        <v>302</v>
      </c>
      <c r="C107" s="328">
        <v>483318</v>
      </c>
      <c r="D107" s="349">
        <f t="shared" ref="D107" si="36">+C107*19%</f>
        <v>91830.42</v>
      </c>
      <c r="E107" s="351">
        <f t="shared" ref="E107" si="37">+C107+D107</f>
        <v>575148.42000000004</v>
      </c>
      <c r="F107" s="278">
        <v>312182</v>
      </c>
      <c r="G107" s="278">
        <v>247163</v>
      </c>
      <c r="H107" s="278" t="s">
        <v>464</v>
      </c>
      <c r="I107" s="431" t="s">
        <v>465</v>
      </c>
    </row>
  </sheetData>
  <mergeCells count="10">
    <mergeCell ref="B7:B8"/>
    <mergeCell ref="B12:B13"/>
    <mergeCell ref="B21:B23"/>
    <mergeCell ref="B31:B33"/>
    <mergeCell ref="B45:B46"/>
    <mergeCell ref="B77:B78"/>
    <mergeCell ref="B81:B82"/>
    <mergeCell ref="B85:B87"/>
    <mergeCell ref="B89:B91"/>
    <mergeCell ref="B93:B9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167</v>
      </c>
      <c r="C2" s="433"/>
      <c r="D2" s="433"/>
      <c r="E2" s="433"/>
      <c r="F2" s="433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3" t="s">
        <v>168</v>
      </c>
      <c r="C15" s="433"/>
      <c r="D15" s="433"/>
      <c r="E15" s="433"/>
      <c r="F15" s="433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14046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138668</v>
      </c>
      <c r="D20" s="233"/>
      <c r="E20" s="240"/>
      <c r="F20" s="235"/>
    </row>
    <row r="21" spans="2:6" ht="15.75" thickBot="1">
      <c r="B21" s="58" t="s">
        <v>10</v>
      </c>
      <c r="C21" s="241">
        <v>4700029716</v>
      </c>
      <c r="D21" s="233"/>
      <c r="E21" s="240"/>
      <c r="F21" s="235"/>
    </row>
    <row r="22" spans="2:6" ht="15.75" thickBot="1">
      <c r="B22" s="242" t="s">
        <v>11</v>
      </c>
      <c r="C22" s="237" t="s">
        <v>145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49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33" t="s">
        <v>169</v>
      </c>
      <c r="C28" s="433"/>
      <c r="D28" s="433"/>
      <c r="E28" s="433"/>
      <c r="F28" s="433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33" t="s">
        <v>170</v>
      </c>
      <c r="C41" s="433"/>
      <c r="D41" s="433"/>
      <c r="E41" s="433"/>
      <c r="F41" s="433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33" t="s">
        <v>171</v>
      </c>
      <c r="C54" s="433"/>
      <c r="D54" s="433"/>
      <c r="E54" s="433"/>
      <c r="F54" s="433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173</v>
      </c>
      <c r="C2" s="433"/>
      <c r="D2" s="433"/>
      <c r="E2" s="433"/>
      <c r="F2" s="433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3" t="s">
        <v>178</v>
      </c>
      <c r="C15" s="433"/>
      <c r="D15" s="433"/>
      <c r="E15" s="433"/>
      <c r="F15" s="433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14042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138677</v>
      </c>
      <c r="D20" s="233"/>
      <c r="E20" s="240"/>
      <c r="F20" s="235"/>
    </row>
    <row r="21" spans="2:6" ht="15.75" thickBot="1">
      <c r="B21" s="58" t="s">
        <v>10</v>
      </c>
      <c r="C21" s="241">
        <v>4700029710</v>
      </c>
      <c r="D21" s="233"/>
      <c r="E21" s="240"/>
      <c r="F21" s="235"/>
    </row>
    <row r="22" spans="2:6" ht="15.75" thickBot="1">
      <c r="B22" s="242" t="s">
        <v>11</v>
      </c>
      <c r="C22" s="237" t="s">
        <v>149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01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33" t="s">
        <v>179</v>
      </c>
      <c r="C28" s="433"/>
      <c r="D28" s="433"/>
      <c r="E28" s="433"/>
      <c r="F28" s="433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33" t="s">
        <v>180</v>
      </c>
      <c r="C41" s="433"/>
      <c r="D41" s="433"/>
      <c r="E41" s="433"/>
      <c r="F41" s="433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33" t="s">
        <v>181</v>
      </c>
      <c r="C54" s="433"/>
      <c r="D54" s="433"/>
      <c r="E54" s="433"/>
      <c r="F54" s="433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5"/>
  <sheetViews>
    <sheetView showGridLines="0" workbookViewId="0">
      <selection activeCell="B2" sqref="B2:E14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4">
      <c r="B2" t="s">
        <v>314</v>
      </c>
    </row>
    <row r="5" spans="2:4" ht="18.75">
      <c r="B5" t="s">
        <v>315</v>
      </c>
      <c r="C5" s="363" t="s">
        <v>447</v>
      </c>
    </row>
    <row r="6" spans="2:4" ht="18.75">
      <c r="B6" t="s">
        <v>3</v>
      </c>
      <c r="C6" s="363" t="str">
        <f>VLOOKUP(C5,'LISTADO CLINICAS'!B3:C35,2,1)</f>
        <v>76. 926.576-7</v>
      </c>
    </row>
    <row r="7" spans="2:4" ht="18.75">
      <c r="B7" t="s">
        <v>316</v>
      </c>
      <c r="C7" s="364" t="s">
        <v>329</v>
      </c>
    </row>
    <row r="8" spans="2:4" ht="18.75">
      <c r="B8" t="s">
        <v>317</v>
      </c>
      <c r="C8" s="364" t="s">
        <v>449</v>
      </c>
    </row>
    <row r="9" spans="2:4" ht="18.75">
      <c r="B9" t="s">
        <v>83</v>
      </c>
      <c r="C9" s="364" t="s">
        <v>329</v>
      </c>
    </row>
    <row r="10" spans="2:4" ht="21">
      <c r="B10" t="s">
        <v>318</v>
      </c>
      <c r="C10" s="383">
        <v>483318</v>
      </c>
    </row>
    <row r="11" spans="2:4" ht="18.75">
      <c r="C11" s="364"/>
    </row>
    <row r="12" spans="2:4" ht="18.75">
      <c r="C12" s="364"/>
    </row>
    <row r="13" spans="2:4" ht="15.75" customHeight="1">
      <c r="B13" t="s">
        <v>344</v>
      </c>
      <c r="C13" s="166">
        <v>3200000000</v>
      </c>
      <c r="D13" s="167" t="str">
        <f>VLOOKUP(C13,B19:C25,2,1)</f>
        <v>MANTENCION</v>
      </c>
    </row>
    <row r="18" spans="2:3" ht="15.75" thickBot="1">
      <c r="B18" t="s">
        <v>369</v>
      </c>
      <c r="C18" t="s">
        <v>370</v>
      </c>
    </row>
    <row r="19" spans="2:3" ht="15.75" customHeight="1">
      <c r="B19" s="164">
        <v>18942</v>
      </c>
      <c r="C19" s="165" t="s">
        <v>94</v>
      </c>
    </row>
    <row r="20" spans="2:3" ht="15.75" thickBot="1">
      <c r="B20" s="406">
        <v>38827</v>
      </c>
      <c r="C20" s="408" t="s">
        <v>93</v>
      </c>
    </row>
    <row r="21" spans="2:3" ht="15" customHeight="1">
      <c r="B21" s="166">
        <v>11112222</v>
      </c>
      <c r="C21" s="167" t="s">
        <v>25</v>
      </c>
    </row>
    <row r="22" spans="2:3">
      <c r="B22" s="410">
        <v>111110000</v>
      </c>
      <c r="C22" s="167" t="s">
        <v>26</v>
      </c>
    </row>
    <row r="23" spans="2:3">
      <c r="B23" s="168">
        <v>3200000000</v>
      </c>
      <c r="C23" s="169" t="s">
        <v>24</v>
      </c>
    </row>
    <row r="24" spans="2:3">
      <c r="B24" s="168">
        <v>9910000003</v>
      </c>
      <c r="C24" s="169" t="s">
        <v>46</v>
      </c>
    </row>
    <row r="25" spans="2:3" ht="15.75" thickBot="1">
      <c r="B25" s="407" t="s">
        <v>23</v>
      </c>
      <c r="C25" s="409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C13" xr:uid="{D88877B0-5C4A-48C3-B4A7-A3A38569403E}">
      <formula1>$B$19:$B$25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70"/>
  <sheetViews>
    <sheetView tabSelected="1" zoomScaleNormal="100" workbookViewId="0">
      <selection activeCell="A13" sqref="A13:XFD13"/>
    </sheetView>
  </sheetViews>
  <sheetFormatPr baseColWidth="10" defaultRowHeight="15"/>
  <cols>
    <col min="1" max="1" width="5.42578125" style="99" customWidth="1"/>
    <col min="2" max="2" width="41" style="257" bestFit="1" customWidth="1"/>
    <col min="3" max="3" width="20.42578125" style="257" customWidth="1"/>
    <col min="4" max="4" width="11.140625" style="231" customWidth="1"/>
    <col min="5" max="5" width="15" style="231" customWidth="1"/>
    <col min="6" max="6" width="15" style="258" customWidth="1"/>
    <col min="7" max="7" width="63.85546875" style="258" customWidth="1"/>
    <col min="8" max="8" width="15.85546875" style="230" bestFit="1" customWidth="1"/>
    <col min="9" max="9" width="20.42578125" style="259" customWidth="1"/>
    <col min="10" max="10" width="16.7109375" style="230" bestFit="1" customWidth="1"/>
    <col min="11" max="11" width="20.140625" style="230" customWidth="1"/>
    <col min="12" max="12" width="16.42578125" style="230" customWidth="1"/>
    <col min="13" max="13" width="14.140625" style="257" customWidth="1"/>
    <col min="14" max="14" width="33.140625" style="257" bestFit="1" customWidth="1"/>
    <col min="15" max="15" width="20.5703125" style="257" customWidth="1"/>
    <col min="16" max="16" width="17.5703125" style="389" customWidth="1"/>
    <col min="17" max="17" width="23.42578125" style="257" bestFit="1" customWidth="1"/>
    <col min="18" max="18" width="85" style="257" customWidth="1"/>
    <col min="19" max="19" width="32" style="395" customWidth="1"/>
    <col min="20" max="20" width="11.42578125" style="370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45" t="s">
        <v>313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</row>
    <row r="2" spans="1:20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</row>
    <row r="3" spans="1:20" ht="31.5">
      <c r="A3" s="251" t="s">
        <v>311</v>
      </c>
      <c r="B3" s="252" t="s">
        <v>125</v>
      </c>
      <c r="C3" s="253" t="s">
        <v>40</v>
      </c>
      <c r="D3" s="253" t="s">
        <v>41</v>
      </c>
      <c r="E3" s="253" t="s">
        <v>359</v>
      </c>
      <c r="F3" s="253" t="s">
        <v>11</v>
      </c>
      <c r="G3" s="253" t="s">
        <v>106</v>
      </c>
      <c r="H3" s="253" t="s">
        <v>0</v>
      </c>
      <c r="I3" s="253" t="s">
        <v>10</v>
      </c>
      <c r="J3" s="253" t="s">
        <v>132</v>
      </c>
      <c r="K3" s="253" t="s">
        <v>84</v>
      </c>
      <c r="L3" s="253" t="s">
        <v>83</v>
      </c>
      <c r="M3" s="253" t="s">
        <v>42</v>
      </c>
      <c r="N3" s="254" t="s">
        <v>92</v>
      </c>
      <c r="O3" s="253" t="s">
        <v>43</v>
      </c>
      <c r="P3" s="386" t="s">
        <v>129</v>
      </c>
      <c r="Q3" s="253" t="s">
        <v>130</v>
      </c>
      <c r="R3" s="255" t="s">
        <v>44</v>
      </c>
      <c r="S3" s="396" t="s">
        <v>183</v>
      </c>
      <c r="T3" s="393" t="s">
        <v>361</v>
      </c>
    </row>
    <row r="4" spans="1:20" s="352" customFormat="1" ht="16.5">
      <c r="A4" s="356" t="s">
        <v>310</v>
      </c>
      <c r="B4" s="352" t="s">
        <v>217</v>
      </c>
      <c r="C4" s="328">
        <f>6.88*36049.05</f>
        <v>248017.46400000001</v>
      </c>
      <c r="D4" s="391" t="s">
        <v>358</v>
      </c>
      <c r="E4" s="374" t="s">
        <v>366</v>
      </c>
      <c r="F4" s="280"/>
      <c r="G4" s="413" t="s">
        <v>445</v>
      </c>
      <c r="H4">
        <v>247085</v>
      </c>
      <c r="I4" s="280"/>
      <c r="J4" s="418">
        <v>188604</v>
      </c>
      <c r="K4" s="280"/>
      <c r="L4" s="280"/>
      <c r="M4">
        <v>313318</v>
      </c>
      <c r="N4" s="280"/>
      <c r="O4" s="391" t="str">
        <f>+Tabla1[[#This Row],[REALIZADO]]</f>
        <v>Cencomex</v>
      </c>
      <c r="P4" s="387">
        <f>+Tabla1[[#This Row],[MONTO NETO]]</f>
        <v>248017.46400000001</v>
      </c>
      <c r="Q4" s="280"/>
      <c r="R4" s="343"/>
      <c r="S4" s="397" t="str">
        <f>+Tabla1[[#This Row],[Línea]]</f>
        <v>Echosens</v>
      </c>
      <c r="T4" s="394">
        <f>+Tabla1[[#This Row],[MONTO NETO]]</f>
        <v>248017.46400000001</v>
      </c>
    </row>
    <row r="5" spans="1:20" s="352" customFormat="1" ht="16.5">
      <c r="A5" s="356" t="s">
        <v>310</v>
      </c>
      <c r="B5" s="375" t="s">
        <v>232</v>
      </c>
      <c r="C5" s="381">
        <v>396539</v>
      </c>
      <c r="D5" s="391" t="s">
        <v>358</v>
      </c>
      <c r="E5" s="374" t="s">
        <v>368</v>
      </c>
      <c r="F5" s="280"/>
      <c r="G5" s="413" t="s">
        <v>444</v>
      </c>
      <c r="H5">
        <v>247084</v>
      </c>
      <c r="I5" t="s">
        <v>450</v>
      </c>
      <c r="J5" t="s">
        <v>452</v>
      </c>
      <c r="K5" s="280"/>
      <c r="L5" s="280"/>
      <c r="M5">
        <v>313187</v>
      </c>
      <c r="N5" s="280"/>
      <c r="O5" s="391" t="str">
        <f>+Tabla1[[#This Row],[REALIZADO]]</f>
        <v>Cencomex</v>
      </c>
      <c r="P5" s="387">
        <f>+Tabla1[[#This Row],[MONTO NETO]]</f>
        <v>396539</v>
      </c>
      <c r="Q5" s="280"/>
      <c r="R5" s="343"/>
      <c r="S5" s="397" t="str">
        <f>+Tabla1[[#This Row],[Línea]]</f>
        <v>Quanta</v>
      </c>
      <c r="T5" s="394">
        <f>+Tabla1[[#This Row],[MONTO NETO]]</f>
        <v>396539</v>
      </c>
    </row>
    <row r="6" spans="1:20" s="352" customFormat="1" ht="16.5">
      <c r="A6" s="356" t="s">
        <v>310</v>
      </c>
      <c r="B6" s="375" t="s">
        <v>302</v>
      </c>
      <c r="C6" s="381">
        <v>483318</v>
      </c>
      <c r="D6" s="391" t="s">
        <v>358</v>
      </c>
      <c r="E6" s="374" t="s">
        <v>362</v>
      </c>
      <c r="F6" s="280"/>
      <c r="G6" s="414" t="s">
        <v>446</v>
      </c>
      <c r="H6">
        <v>247163</v>
      </c>
      <c r="I6" s="428">
        <v>45063</v>
      </c>
      <c r="J6" s="48">
        <v>188751</v>
      </c>
      <c r="K6" s="280"/>
      <c r="L6" s="280"/>
      <c r="M6">
        <v>313469</v>
      </c>
      <c r="N6" s="280"/>
      <c r="O6" s="391" t="str">
        <f>+Tabla1[[#This Row],[REALIZADO]]</f>
        <v>Cencomex</v>
      </c>
      <c r="P6" s="387">
        <f>+Tabla1[[#This Row],[MONTO NETO]]</f>
        <v>483318</v>
      </c>
      <c r="Q6" s="280"/>
      <c r="R6" s="343"/>
      <c r="S6" s="398" t="str">
        <f>+Tabla1[[#This Row],[Línea]]</f>
        <v>Koelis</v>
      </c>
      <c r="T6" s="394">
        <f>+Tabla1[[#This Row],[MONTO NETO]]</f>
        <v>483318</v>
      </c>
    </row>
    <row r="7" spans="1:20" s="352" customFormat="1" ht="16.5">
      <c r="A7" s="356" t="s">
        <v>310</v>
      </c>
      <c r="B7" s="375" t="s">
        <v>326</v>
      </c>
      <c r="C7" s="381">
        <v>413413</v>
      </c>
      <c r="D7" s="391" t="s">
        <v>358</v>
      </c>
      <c r="E7" s="374" t="s">
        <v>368</v>
      </c>
      <c r="F7" s="280"/>
      <c r="G7" s="413" t="s">
        <v>378</v>
      </c>
      <c r="H7" s="418"/>
      <c r="I7" t="s">
        <v>383</v>
      </c>
      <c r="J7" s="48">
        <v>182522</v>
      </c>
      <c r="K7" s="280"/>
      <c r="L7" s="280"/>
      <c r="M7">
        <v>311359</v>
      </c>
      <c r="N7" s="280"/>
      <c r="O7" s="391" t="str">
        <f>+Tabla1[[#This Row],[REALIZADO]]</f>
        <v>Cencomex</v>
      </c>
      <c r="P7" s="387">
        <f>+Tabla1[[#This Row],[MONTO NETO]]</f>
        <v>413413</v>
      </c>
      <c r="Q7" s="280"/>
      <c r="R7" s="343"/>
      <c r="S7" s="398" t="str">
        <f>+Tabla1[[#This Row],[Línea]]</f>
        <v>Quanta</v>
      </c>
      <c r="T7" s="394">
        <f>+Tabla1[[#This Row],[MONTO NETO]]</f>
        <v>413413</v>
      </c>
    </row>
    <row r="8" spans="1:20" s="352" customFormat="1" ht="16.5">
      <c r="A8" s="356" t="s">
        <v>310</v>
      </c>
      <c r="B8" s="375" t="s">
        <v>326</v>
      </c>
      <c r="C8" s="381">
        <v>413413</v>
      </c>
      <c r="D8" s="391" t="s">
        <v>358</v>
      </c>
      <c r="E8" s="374" t="s">
        <v>368</v>
      </c>
      <c r="F8" s="280"/>
      <c r="G8" s="413" t="s">
        <v>379</v>
      </c>
      <c r="H8" s="280"/>
      <c r="I8" t="s">
        <v>384</v>
      </c>
      <c r="J8">
        <v>182521</v>
      </c>
      <c r="K8" s="280"/>
      <c r="L8" s="280"/>
      <c r="M8">
        <v>311361</v>
      </c>
      <c r="N8" s="280"/>
      <c r="O8" s="361" t="str">
        <f>+Tabla1[[#This Row],[REALIZADO]]</f>
        <v>Cencomex</v>
      </c>
      <c r="P8" s="387">
        <f>+Tabla1[[#This Row],[MONTO NETO]]</f>
        <v>413413</v>
      </c>
      <c r="Q8" s="280"/>
      <c r="R8" s="421"/>
      <c r="S8" s="422" t="str">
        <f>+Tabla1[[#This Row],[Línea]]</f>
        <v>Quanta</v>
      </c>
      <c r="T8" s="394">
        <f>+Tabla1[[#This Row],[MONTO NETO]]</f>
        <v>413413</v>
      </c>
    </row>
    <row r="9" spans="1:20" s="352" customFormat="1" ht="16.5">
      <c r="A9" s="356" t="s">
        <v>310</v>
      </c>
      <c r="B9" s="375" t="s">
        <v>326</v>
      </c>
      <c r="C9" s="381">
        <v>413413</v>
      </c>
      <c r="D9" s="297" t="s">
        <v>358</v>
      </c>
      <c r="E9" s="374" t="s">
        <v>368</v>
      </c>
      <c r="F9" s="280"/>
      <c r="G9" s="413" t="s">
        <v>443</v>
      </c>
      <c r="H9">
        <v>247081</v>
      </c>
      <c r="I9" t="s">
        <v>451</v>
      </c>
      <c r="J9">
        <v>188601</v>
      </c>
      <c r="K9" s="280"/>
      <c r="L9" s="280"/>
      <c r="M9">
        <v>313186</v>
      </c>
      <c r="N9" s="280"/>
      <c r="O9" s="361" t="str">
        <f>+Tabla1[[#This Row],[REALIZADO]]</f>
        <v>Cencomex</v>
      </c>
      <c r="P9" s="387">
        <f>+Tabla1[[#This Row],[MONTO NETO]]</f>
        <v>413413</v>
      </c>
      <c r="Q9" s="280"/>
      <c r="R9" s="421"/>
      <c r="S9" s="422" t="str">
        <f>+Tabla1[[#This Row],[Línea]]</f>
        <v>Quanta</v>
      </c>
      <c r="T9" s="394">
        <f>+Tabla1[[#This Row],[MONTO NETO]]</f>
        <v>413413</v>
      </c>
    </row>
    <row r="10" spans="1:20" s="352" customFormat="1" ht="16.5">
      <c r="A10" s="427"/>
      <c r="B10" s="376" t="s">
        <v>236</v>
      </c>
      <c r="C10" s="377">
        <f>4833*914.5</f>
        <v>4419778.5</v>
      </c>
      <c r="D10" s="391" t="s">
        <v>358</v>
      </c>
      <c r="E10" s="374" t="s">
        <v>364</v>
      </c>
      <c r="F10" s="280"/>
      <c r="G10" s="414" t="s">
        <v>466</v>
      </c>
      <c r="H10" s="425">
        <v>45132</v>
      </c>
      <c r="J10" s="418"/>
      <c r="K10" s="280"/>
      <c r="L10" s="280"/>
      <c r="M10" s="419"/>
      <c r="N10" s="280"/>
      <c r="O10" s="391" t="str">
        <f>+Tabla1[[#This Row],[REALIZADO]]</f>
        <v>Cencomex</v>
      </c>
      <c r="P10" s="387">
        <f>+Tabla1[[#This Row],[MONTO NETO]]</f>
        <v>4419778.5</v>
      </c>
      <c r="Q10" s="280"/>
      <c r="R10" s="343"/>
      <c r="S10" s="398" t="str">
        <f>+Tabla1[[#This Row],[Línea]]</f>
        <v>Edap-TMS</v>
      </c>
      <c r="T10" s="394">
        <f>+Tabla1[[#This Row],[MONTO NETO]]</f>
        <v>4419778.5</v>
      </c>
    </row>
    <row r="11" spans="1:20" s="352" customFormat="1" ht="16.5">
      <c r="A11" s="427"/>
      <c r="B11" s="378" t="s">
        <v>236</v>
      </c>
      <c r="C11" s="379">
        <f>3125*914.5</f>
        <v>2857812.5</v>
      </c>
      <c r="D11" s="391" t="s">
        <v>358</v>
      </c>
      <c r="E11" s="374" t="s">
        <v>364</v>
      </c>
      <c r="F11" s="280"/>
      <c r="G11" s="414" t="s">
        <v>467</v>
      </c>
      <c r="H11" s="425">
        <v>45132</v>
      </c>
      <c r="I11" s="280"/>
      <c r="J11" s="418"/>
      <c r="K11" s="280"/>
      <c r="L11" s="280"/>
      <c r="M11" s="419"/>
      <c r="N11" s="280"/>
      <c r="O11" s="391" t="str">
        <f>+Tabla1[[#This Row],[REALIZADO]]</f>
        <v>Cencomex</v>
      </c>
      <c r="P11" s="387">
        <f>+Tabla1[[#This Row],[MONTO NETO]]</f>
        <v>2857812.5</v>
      </c>
      <c r="Q11" s="280"/>
      <c r="R11" s="343"/>
      <c r="S11" s="398" t="str">
        <f>+Tabla1[[#This Row],[Línea]]</f>
        <v>Edap-TMS</v>
      </c>
      <c r="T11" s="394">
        <f>+Tabla1[[#This Row],[MONTO NETO]]</f>
        <v>2857812.5</v>
      </c>
    </row>
    <row r="12" spans="1:20" s="372" customFormat="1" ht="16.5">
      <c r="A12" s="356" t="s">
        <v>310</v>
      </c>
      <c r="B12" s="375" t="s">
        <v>300</v>
      </c>
      <c r="C12" s="379">
        <f>9.54*36093.09</f>
        <v>344328.07859999995</v>
      </c>
      <c r="D12" s="391" t="s">
        <v>358</v>
      </c>
      <c r="E12" s="374" t="s">
        <v>368</v>
      </c>
      <c r="F12" s="280"/>
      <c r="G12" s="413" t="s">
        <v>391</v>
      </c>
      <c r="H12">
        <v>246991</v>
      </c>
      <c r="I12">
        <v>4500527666</v>
      </c>
      <c r="J12">
        <v>188603</v>
      </c>
      <c r="K12" s="418"/>
      <c r="L12">
        <v>1000171680</v>
      </c>
      <c r="M12">
        <v>313319</v>
      </c>
      <c r="N12" s="280"/>
      <c r="O12" s="391" t="str">
        <f>+Tabla1[[#This Row],[REALIZADO]]</f>
        <v>Cencomex</v>
      </c>
      <c r="P12" s="387">
        <f>+Tabla1[[#This Row],[MONTO NETO]]</f>
        <v>344328.07859999995</v>
      </c>
      <c r="Q12" s="279"/>
      <c r="R12" s="371"/>
      <c r="S12" s="399" t="str">
        <f>+Tabla1[[#This Row],[Línea]]</f>
        <v>Quanta</v>
      </c>
      <c r="T12" s="394">
        <f>+Tabla1[[#This Row],[MONTO NETO]]</f>
        <v>344328.07859999995</v>
      </c>
    </row>
    <row r="13" spans="1:20" s="352" customFormat="1" ht="16.5">
      <c r="A13" s="356"/>
      <c r="B13" s="329" t="s">
        <v>323</v>
      </c>
      <c r="C13" s="429">
        <f>914.5*560</f>
        <v>512120</v>
      </c>
      <c r="D13" s="391" t="s">
        <v>358</v>
      </c>
      <c r="E13" s="374" t="s">
        <v>362</v>
      </c>
      <c r="F13" s="330"/>
      <c r="G13" s="382" t="s">
        <v>349</v>
      </c>
      <c r="H13" s="418"/>
      <c r="I13" s="418"/>
      <c r="J13" s="418"/>
      <c r="K13" s="297"/>
      <c r="L13" s="297"/>
      <c r="M13" s="418"/>
      <c r="N13" s="297"/>
      <c r="O13" s="391" t="str">
        <f>+Tabla1[[#This Row],[REALIZADO]]</f>
        <v>Cencomex</v>
      </c>
      <c r="P13" s="387">
        <f>+Tabla1[[#This Row],[MONTO NETO]]</f>
        <v>512120</v>
      </c>
      <c r="Q13" s="280"/>
      <c r="R13" s="343"/>
      <c r="S13" s="398" t="str">
        <f>+Tabla1[[#This Row],[Línea]]</f>
        <v>Koelis</v>
      </c>
      <c r="T13" s="394">
        <f>+Tabla1[[#This Row],[MONTO NETO]]</f>
        <v>512120</v>
      </c>
    </row>
    <row r="14" spans="1:20" s="352" customFormat="1" ht="16.5">
      <c r="A14" s="356" t="s">
        <v>310</v>
      </c>
      <c r="B14" s="359" t="s">
        <v>39</v>
      </c>
      <c r="C14" s="355">
        <f>125*36088.28</f>
        <v>4511035</v>
      </c>
      <c r="D14" s="391" t="s">
        <v>358</v>
      </c>
      <c r="E14" s="374" t="s">
        <v>365</v>
      </c>
      <c r="F14" s="338"/>
      <c r="G14" s="415" t="s">
        <v>375</v>
      </c>
      <c r="H14">
        <v>244944</v>
      </c>
      <c r="I14">
        <v>4500025583</v>
      </c>
      <c r="J14">
        <v>182643</v>
      </c>
      <c r="K14" s="418"/>
      <c r="L14">
        <v>1000100277</v>
      </c>
      <c r="M14">
        <v>311676</v>
      </c>
      <c r="N14" s="297"/>
      <c r="O14" s="391" t="str">
        <f>+Tabla1[[#This Row],[REALIZADO]]</f>
        <v>Cencomex</v>
      </c>
      <c r="P14" s="387">
        <f>+Tabla1[[#This Row],[MONTO NETO]]</f>
        <v>4511035</v>
      </c>
      <c r="Q14" s="280"/>
      <c r="R14" s="343"/>
      <c r="S14" s="400" t="str">
        <f>+Tabla1[[#This Row],[Línea]]</f>
        <v>Rauland</v>
      </c>
      <c r="T14" s="394">
        <f>+Tabla1[[#This Row],[MONTO NETO]]</f>
        <v>4511035</v>
      </c>
    </row>
    <row r="15" spans="1:20" s="278" customFormat="1" ht="16.5">
      <c r="A15" s="356" t="s">
        <v>310</v>
      </c>
      <c r="B15" s="359" t="s">
        <v>39</v>
      </c>
      <c r="C15" s="355">
        <f>800.89*517.67</f>
        <v>414596.72629999998</v>
      </c>
      <c r="D15" s="391" t="s">
        <v>358</v>
      </c>
      <c r="E15" s="374" t="s">
        <v>367</v>
      </c>
      <c r="F15" s="338"/>
      <c r="G15" s="415" t="s">
        <v>376</v>
      </c>
      <c r="H15">
        <v>244945</v>
      </c>
      <c r="I15">
        <v>4500025692</v>
      </c>
      <c r="J15">
        <v>188584</v>
      </c>
      <c r="K15" s="280"/>
      <c r="L15">
        <v>1000100276</v>
      </c>
      <c r="M15">
        <v>313320</v>
      </c>
      <c r="N15" s="334"/>
      <c r="O15" s="391" t="str">
        <f>+Tabla1[[#This Row],[REALIZADO]]</f>
        <v>Cencomex</v>
      </c>
      <c r="P15" s="387">
        <f>+Tabla1[[#This Row],[MONTO NETO]]</f>
        <v>414596.72629999998</v>
      </c>
      <c r="Q15" s="338"/>
      <c r="R15" s="344"/>
      <c r="S15" s="400" t="str">
        <f>+Tabla1[[#This Row],[Línea]]</f>
        <v>Elpas</v>
      </c>
      <c r="T15" s="394">
        <f>+Tabla1[[#This Row],[MONTO NETO]]</f>
        <v>414596.72629999998</v>
      </c>
    </row>
    <row r="16" spans="1:20" s="278" customFormat="1" ht="16.5">
      <c r="A16" s="356" t="s">
        <v>310</v>
      </c>
      <c r="B16" s="411" t="s">
        <v>372</v>
      </c>
      <c r="C16" s="355">
        <v>324296</v>
      </c>
      <c r="D16" s="391" t="s">
        <v>358</v>
      </c>
      <c r="E16" s="374" t="s">
        <v>368</v>
      </c>
      <c r="F16"/>
      <c r="G16" s="412" t="s">
        <v>373</v>
      </c>
      <c r="H16">
        <v>244477</v>
      </c>
      <c r="I16" s="420"/>
      <c r="J16">
        <v>188586</v>
      </c>
      <c r="K16" s="280"/>
      <c r="L16" s="353"/>
      <c r="M16">
        <v>313321</v>
      </c>
      <c r="N16" s="334"/>
      <c r="O16" s="391" t="str">
        <f>+Tabla1[[#This Row],[REALIZADO]]</f>
        <v>Cencomex</v>
      </c>
      <c r="P16" s="387">
        <f>+Tabla1[[#This Row],[MONTO NETO]]</f>
        <v>324296</v>
      </c>
      <c r="Q16" s="338"/>
      <c r="R16" s="344"/>
      <c r="S16" s="400" t="str">
        <f>+Tabla1[[#This Row],[Línea]]</f>
        <v>Quanta</v>
      </c>
      <c r="T16" s="394">
        <f>+Tabla1[[#This Row],[MONTO NETO]]</f>
        <v>324296</v>
      </c>
    </row>
    <row r="17" spans="1:20" s="352" customFormat="1" ht="16.5">
      <c r="A17" s="356" t="s">
        <v>310</v>
      </c>
      <c r="B17" s="411" t="s">
        <v>372</v>
      </c>
      <c r="C17" s="355">
        <v>324805</v>
      </c>
      <c r="D17" s="391" t="s">
        <v>358</v>
      </c>
      <c r="E17" s="374" t="s">
        <v>366</v>
      </c>
      <c r="F17" s="258"/>
      <c r="G17" s="412" t="s">
        <v>374</v>
      </c>
      <c r="H17">
        <v>244478</v>
      </c>
      <c r="I17" s="418"/>
      <c r="J17">
        <v>188587</v>
      </c>
      <c r="K17" s="280"/>
      <c r="L17" s="353"/>
      <c r="M17">
        <v>313322</v>
      </c>
      <c r="N17" s="334"/>
      <c r="O17" s="391" t="str">
        <f>+Tabla1[[#This Row],[REALIZADO]]</f>
        <v>Cencomex</v>
      </c>
      <c r="P17" s="387">
        <f>+Tabla1[[#This Row],[MONTO NETO]]</f>
        <v>324805</v>
      </c>
      <c r="Q17" s="338"/>
      <c r="R17" s="344"/>
      <c r="S17" s="400" t="str">
        <f>+Tabla1[[#This Row],[Línea]]</f>
        <v>Echosens</v>
      </c>
      <c r="T17" s="394">
        <f>+Tabla1[[#This Row],[MONTO NETO]]</f>
        <v>324805</v>
      </c>
    </row>
    <row r="18" spans="1:20" s="278" customFormat="1" ht="16.5">
      <c r="A18" s="356" t="s">
        <v>310</v>
      </c>
      <c r="B18" s="48" t="s">
        <v>122</v>
      </c>
      <c r="C18" s="355">
        <v>1231500</v>
      </c>
      <c r="D18" s="391" t="s">
        <v>356</v>
      </c>
      <c r="E18" s="374" t="s">
        <v>368</v>
      </c>
      <c r="F18" s="338"/>
      <c r="G18" s="348" t="s">
        <v>377</v>
      </c>
      <c r="H18">
        <v>244965</v>
      </c>
      <c r="I18">
        <v>424776</v>
      </c>
      <c r="J18" s="48"/>
      <c r="K18" s="416"/>
      <c r="L18" s="417"/>
      <c r="M18">
        <v>312146</v>
      </c>
      <c r="N18" s="334"/>
      <c r="O18" s="391" t="str">
        <f>+Tabla1[[#This Row],[REALIZADO]]</f>
        <v>J Fernandez</v>
      </c>
      <c r="P18" s="387">
        <f>+Tabla1[[#This Row],[MONTO NETO]]</f>
        <v>1231500</v>
      </c>
      <c r="Q18" s="338"/>
      <c r="R18" s="344"/>
      <c r="S18" s="400" t="str">
        <f>+Tabla1[[#This Row],[Línea]]</f>
        <v>Quanta</v>
      </c>
      <c r="T18" s="394">
        <f>+Tabla1[[#This Row],[MONTO NETO]]</f>
        <v>1231500</v>
      </c>
    </row>
    <row r="19" spans="1:20" s="278" customFormat="1" ht="16.5">
      <c r="A19" s="356" t="s">
        <v>310</v>
      </c>
      <c r="B19" t="s">
        <v>380</v>
      </c>
      <c r="C19" s="355">
        <v>375300</v>
      </c>
      <c r="D19" s="391" t="s">
        <v>356</v>
      </c>
      <c r="E19" s="374" t="s">
        <v>368</v>
      </c>
      <c r="F19" s="338"/>
      <c r="G19" s="348" t="s">
        <v>381</v>
      </c>
      <c r="H19" s="48"/>
      <c r="I19" t="s">
        <v>382</v>
      </c>
      <c r="J19">
        <v>179806</v>
      </c>
      <c r="K19" s="48"/>
      <c r="L19" s="354"/>
      <c r="M19">
        <v>311362</v>
      </c>
      <c r="N19" s="334"/>
      <c r="O19" s="391" t="str">
        <f>+Tabla1[[#This Row],[REALIZADO]]</f>
        <v>J Fernandez</v>
      </c>
      <c r="P19" s="387">
        <f>+Tabla1[[#This Row],[MONTO NETO]]</f>
        <v>375300</v>
      </c>
      <c r="Q19" s="338"/>
      <c r="R19" s="344"/>
      <c r="S19" s="400" t="str">
        <f>+Tabla1[[#This Row],[Línea]]</f>
        <v>Quanta</v>
      </c>
      <c r="T19" s="394">
        <f>+Tabla1[[#This Row],[MONTO NETO]]</f>
        <v>375300</v>
      </c>
    </row>
    <row r="20" spans="1:20" s="278" customFormat="1" ht="16.5">
      <c r="A20" s="356" t="s">
        <v>310</v>
      </c>
      <c r="B20" s="48" t="s">
        <v>385</v>
      </c>
      <c r="C20" s="355">
        <v>418836</v>
      </c>
      <c r="D20" s="391" t="s">
        <v>350</v>
      </c>
      <c r="E20" s="374" t="s">
        <v>371</v>
      </c>
      <c r="F20" s="338"/>
      <c r="G20" s="360" t="s">
        <v>386</v>
      </c>
      <c r="H20" s="48">
        <v>244241</v>
      </c>
      <c r="I20">
        <v>901752</v>
      </c>
      <c r="J20">
        <v>181880</v>
      </c>
      <c r="K20" s="338"/>
      <c r="L20" s="280"/>
      <c r="M20">
        <v>312140</v>
      </c>
      <c r="N20" s="334"/>
      <c r="O20" s="391" t="str">
        <f>+Tabla1[[#This Row],[REALIZADO]]</f>
        <v>F Pavez</v>
      </c>
      <c r="P20" s="387">
        <f>+Tabla1[[#This Row],[MONTO NETO]]</f>
        <v>418836</v>
      </c>
      <c r="Q20" s="338"/>
      <c r="R20" s="344"/>
      <c r="S20" s="400" t="str">
        <f>+Tabla1[[#This Row],[Línea]]</f>
        <v>Smiths Medical</v>
      </c>
      <c r="T20" s="394">
        <f>+Tabla1[[#This Row],[MONTO NETO]]</f>
        <v>418836</v>
      </c>
    </row>
    <row r="21" spans="1:20" s="278" customFormat="1" ht="16.5">
      <c r="A21" s="356" t="s">
        <v>310</v>
      </c>
      <c r="B21" t="s">
        <v>387</v>
      </c>
      <c r="C21" s="355">
        <v>272160</v>
      </c>
      <c r="D21" s="391" t="s">
        <v>352</v>
      </c>
      <c r="E21" s="374" t="s">
        <v>365</v>
      </c>
      <c r="F21" s="338"/>
      <c r="G21" s="348" t="s">
        <v>388</v>
      </c>
      <c r="H21" s="48"/>
      <c r="I21">
        <v>4520229786</v>
      </c>
      <c r="J21">
        <v>181909</v>
      </c>
      <c r="K21" s="338"/>
      <c r="L21" s="280"/>
      <c r="M21">
        <v>311364</v>
      </c>
      <c r="N21" s="334"/>
      <c r="O21" s="391" t="str">
        <f>+Tabla1[[#This Row],[REALIZADO]]</f>
        <v>C Alfaro</v>
      </c>
      <c r="P21" s="387">
        <f>+Tabla1[[#This Row],[MONTO NETO]]</f>
        <v>272160</v>
      </c>
      <c r="Q21" s="338"/>
      <c r="R21" s="344"/>
      <c r="S21" s="400" t="str">
        <f>+Tabla1[[#This Row],[Línea]]</f>
        <v>Rauland</v>
      </c>
      <c r="T21" s="394">
        <f>+Tabla1[[#This Row],[MONTO NETO]]</f>
        <v>272160</v>
      </c>
    </row>
    <row r="22" spans="1:20" s="278" customFormat="1" ht="15.75" customHeight="1">
      <c r="A22" s="356" t="s">
        <v>310</v>
      </c>
      <c r="B22" t="s">
        <v>389</v>
      </c>
      <c r="C22" s="355">
        <v>352305</v>
      </c>
      <c r="D22" s="391" t="s">
        <v>350</v>
      </c>
      <c r="E22" s="374" t="s">
        <v>360</v>
      </c>
      <c r="F22" s="338"/>
      <c r="G22" s="348" t="s">
        <v>390</v>
      </c>
      <c r="H22">
        <v>245441</v>
      </c>
      <c r="I22">
        <v>7</v>
      </c>
      <c r="J22">
        <v>183479</v>
      </c>
      <c r="K22" s="280"/>
      <c r="L22"/>
      <c r="M22">
        <v>312135</v>
      </c>
      <c r="N22" s="334"/>
      <c r="O22" s="391" t="str">
        <f>+Tabla1[[#This Row],[REALIZADO]]</f>
        <v>F Pavez</v>
      </c>
      <c r="P22" s="387">
        <f>+Tabla1[[#This Row],[MONTO NETO]]</f>
        <v>352305</v>
      </c>
      <c r="Q22" s="338"/>
      <c r="R22" s="344"/>
      <c r="S22" s="400" t="str">
        <f>+Tabla1[[#This Row],[Línea]]</f>
        <v>Qcore</v>
      </c>
      <c r="T22" s="394">
        <f>+Tabla1[[#This Row],[MONTO NETO]]</f>
        <v>352305</v>
      </c>
    </row>
    <row r="23" spans="1:20" s="278" customFormat="1" ht="15.75" customHeight="1">
      <c r="A23" s="356" t="s">
        <v>310</v>
      </c>
      <c r="B23" s="375" t="s">
        <v>338</v>
      </c>
      <c r="C23" s="328">
        <v>924800</v>
      </c>
      <c r="D23" s="391" t="s">
        <v>356</v>
      </c>
      <c r="E23" s="374" t="s">
        <v>368</v>
      </c>
      <c r="F23" s="280"/>
      <c r="G23" s="280" t="s">
        <v>392</v>
      </c>
      <c r="H23" s="280">
        <v>245664</v>
      </c>
      <c r="I23">
        <v>4300148646</v>
      </c>
      <c r="J23">
        <v>183368</v>
      </c>
      <c r="K23" s="338"/>
      <c r="L23" s="48"/>
      <c r="M23">
        <v>312134</v>
      </c>
      <c r="N23" s="334"/>
      <c r="O23" s="391" t="str">
        <f>+Tabla1[[#This Row],[REALIZADO]]</f>
        <v>J Fernandez</v>
      </c>
      <c r="P23" s="387">
        <f>+Tabla1[[#This Row],[MONTO NETO]]</f>
        <v>924800</v>
      </c>
      <c r="Q23" s="338"/>
      <c r="R23" s="344"/>
      <c r="S23" s="400" t="str">
        <f>+Tabla1[[#This Row],[Línea]]</f>
        <v>Quanta</v>
      </c>
      <c r="T23" s="394">
        <f>+Tabla1[[#This Row],[MONTO NETO]]</f>
        <v>924800</v>
      </c>
    </row>
    <row r="24" spans="1:20" ht="16.5">
      <c r="A24" s="356" t="s">
        <v>310</v>
      </c>
      <c r="B24" s="375" t="s">
        <v>393</v>
      </c>
      <c r="C24" s="328">
        <v>180000</v>
      </c>
      <c r="D24" s="391" t="s">
        <v>352</v>
      </c>
      <c r="E24" s="374" t="s">
        <v>365</v>
      </c>
      <c r="F24" s="280"/>
      <c r="G24" s="280" t="s">
        <v>394</v>
      </c>
      <c r="H24" s="280"/>
      <c r="I24">
        <v>27126</v>
      </c>
      <c r="J24">
        <v>183499</v>
      </c>
      <c r="K24" s="384"/>
      <c r="L24" s="384"/>
      <c r="M24">
        <v>311996</v>
      </c>
      <c r="N24" s="385"/>
      <c r="O24" s="391" t="str">
        <f>+Tabla1[[#This Row],[REALIZADO]]</f>
        <v>C Alfaro</v>
      </c>
      <c r="P24" s="387">
        <f>+Tabla1[[#This Row],[MONTO NETO]]</f>
        <v>180000</v>
      </c>
      <c r="S24" s="395" t="str">
        <f>+Tabla1[[#This Row],[Línea]]</f>
        <v>Rauland</v>
      </c>
      <c r="T24" s="394">
        <f>+Tabla1[[#This Row],[MONTO NETO]]</f>
        <v>180000</v>
      </c>
    </row>
    <row r="25" spans="1:20" s="278" customFormat="1" ht="16.5">
      <c r="A25" s="356" t="s">
        <v>310</v>
      </c>
      <c r="B25" s="257" t="s">
        <v>400</v>
      </c>
      <c r="C25" s="355">
        <v>595555</v>
      </c>
      <c r="D25" s="391" t="s">
        <v>350</v>
      </c>
      <c r="E25" s="374" t="s">
        <v>371</v>
      </c>
      <c r="F25" s="280"/>
      <c r="G25" s="348" t="s">
        <v>402</v>
      </c>
      <c r="H25" s="380">
        <v>242712</v>
      </c>
      <c r="I25" s="48" t="s">
        <v>401</v>
      </c>
      <c r="J25" s="380">
        <v>180203</v>
      </c>
      <c r="K25" s="280"/>
      <c r="L25" s="280"/>
      <c r="M25">
        <v>312136</v>
      </c>
      <c r="N25" s="334"/>
      <c r="O25" s="391" t="str">
        <f>+Tabla1[[#This Row],[REALIZADO]]</f>
        <v>F Pavez</v>
      </c>
      <c r="P25" s="387">
        <f>+Tabla1[[#This Row],[MONTO NETO]]</f>
        <v>595555</v>
      </c>
      <c r="Q25" s="338"/>
      <c r="R25" s="344"/>
      <c r="S25" s="400" t="str">
        <f>+Tabla1[[#This Row],[Línea]]</f>
        <v>Smiths Medical</v>
      </c>
      <c r="T25" s="394">
        <f>+Tabla1[[#This Row],[MONTO NETO]]</f>
        <v>595555</v>
      </c>
    </row>
    <row r="26" spans="1:20" s="278" customFormat="1" ht="16.5">
      <c r="A26" s="356" t="s">
        <v>310</v>
      </c>
      <c r="B26" s="48" t="s">
        <v>385</v>
      </c>
      <c r="C26" s="328">
        <v>418836</v>
      </c>
      <c r="D26" s="391" t="s">
        <v>350</v>
      </c>
      <c r="E26" s="374" t="s">
        <v>371</v>
      </c>
      <c r="F26" s="338"/>
      <c r="G26" s="348" t="s">
        <v>402</v>
      </c>
      <c r="H26" s="380">
        <v>245642</v>
      </c>
      <c r="I26" s="280">
        <v>903026</v>
      </c>
      <c r="J26" s="338">
        <v>183544</v>
      </c>
      <c r="K26" s="280"/>
      <c r="L26" s="280"/>
      <c r="M26">
        <v>312137</v>
      </c>
      <c r="N26" s="297"/>
      <c r="O26" s="391" t="str">
        <f>+Tabla1[[#This Row],[REALIZADO]]</f>
        <v>F Pavez</v>
      </c>
      <c r="P26" s="387">
        <f>+Tabla1[[#This Row],[MONTO NETO]]</f>
        <v>418836</v>
      </c>
      <c r="Q26" s="280"/>
      <c r="R26" s="343"/>
      <c r="S26" s="400" t="str">
        <f>+Tabla1[[#This Row],[Línea]]</f>
        <v>Smiths Medical</v>
      </c>
      <c r="T26" s="394">
        <f>+Tabla1[[#This Row],[MONTO NETO]]</f>
        <v>418836</v>
      </c>
    </row>
    <row r="27" spans="1:20" s="278" customFormat="1" ht="16.5">
      <c r="A27" s="356" t="s">
        <v>310</v>
      </c>
      <c r="B27" s="361" t="s">
        <v>342</v>
      </c>
      <c r="C27" s="328">
        <v>312051</v>
      </c>
      <c r="D27" s="391" t="s">
        <v>350</v>
      </c>
      <c r="E27" s="374" t="s">
        <v>371</v>
      </c>
      <c r="F27" s="338"/>
      <c r="G27" s="348" t="s">
        <v>413</v>
      </c>
      <c r="H27" s="48">
        <v>238104</v>
      </c>
      <c r="I27" s="48" t="s">
        <v>412</v>
      </c>
      <c r="J27" s="338">
        <v>172624</v>
      </c>
      <c r="K27" s="338"/>
      <c r="L27" s="338"/>
      <c r="M27">
        <v>312949</v>
      </c>
      <c r="N27" s="334"/>
      <c r="O27" s="391" t="str">
        <f>+Tabla1[[#This Row],[REALIZADO]]</f>
        <v>F Pavez</v>
      </c>
      <c r="P27" s="387">
        <f>+Tabla1[[#This Row],[MONTO NETO]]</f>
        <v>312051</v>
      </c>
      <c r="Q27" s="338"/>
      <c r="R27" s="344"/>
      <c r="S27" s="400" t="str">
        <f>+Tabla1[[#This Row],[Línea]]</f>
        <v>Smiths Medical</v>
      </c>
      <c r="T27" s="394">
        <f>+Tabla1[[#This Row],[MONTO NETO]]</f>
        <v>312051</v>
      </c>
    </row>
    <row r="28" spans="1:20" s="278" customFormat="1" ht="16.5">
      <c r="A28" s="356" t="s">
        <v>310</v>
      </c>
      <c r="B28" s="361" t="s">
        <v>342</v>
      </c>
      <c r="C28" s="328">
        <v>312051</v>
      </c>
      <c r="D28" s="391" t="s">
        <v>350</v>
      </c>
      <c r="E28" s="374" t="s">
        <v>371</v>
      </c>
      <c r="F28" s="280"/>
      <c r="G28" s="348" t="s">
        <v>417</v>
      </c>
      <c r="H28" s="48">
        <v>238609</v>
      </c>
      <c r="I28" s="48" t="s">
        <v>414</v>
      </c>
      <c r="J28" s="280">
        <v>173174</v>
      </c>
      <c r="K28" s="280"/>
      <c r="L28" s="280"/>
      <c r="M28">
        <v>312950</v>
      </c>
      <c r="N28" s="297"/>
      <c r="O28" s="391" t="str">
        <f>+Tabla1[[#This Row],[REALIZADO]]</f>
        <v>F Pavez</v>
      </c>
      <c r="P28" s="387">
        <f>+Tabla1[[#This Row],[MONTO NETO]]</f>
        <v>312051</v>
      </c>
      <c r="Q28" s="280"/>
      <c r="R28" s="343"/>
      <c r="S28" s="400" t="str">
        <f>+Tabla1[[#This Row],[Línea]]</f>
        <v>Smiths Medical</v>
      </c>
      <c r="T28" s="394">
        <f>+Tabla1[[#This Row],[MONTO NETO]]</f>
        <v>312051</v>
      </c>
    </row>
    <row r="29" spans="1:20" s="278" customFormat="1" ht="16.5">
      <c r="A29" s="356" t="s">
        <v>310</v>
      </c>
      <c r="B29" s="361" t="s">
        <v>342</v>
      </c>
      <c r="C29" s="328">
        <v>482051</v>
      </c>
      <c r="D29" s="391" t="s">
        <v>350</v>
      </c>
      <c r="E29" s="374" t="s">
        <v>371</v>
      </c>
      <c r="F29" s="280"/>
      <c r="G29" s="348" t="s">
        <v>418</v>
      </c>
      <c r="H29" s="48">
        <v>238615</v>
      </c>
      <c r="I29" s="48" t="s">
        <v>419</v>
      </c>
      <c r="J29" s="280">
        <v>173173</v>
      </c>
      <c r="K29" s="280"/>
      <c r="L29" s="280"/>
      <c r="M29">
        <v>313110</v>
      </c>
      <c r="N29" s="297"/>
      <c r="O29" s="391" t="str">
        <f>+Tabla1[[#This Row],[REALIZADO]]</f>
        <v>F Pavez</v>
      </c>
      <c r="P29" s="387">
        <f>+Tabla1[[#This Row],[MONTO NETO]]</f>
        <v>482051</v>
      </c>
      <c r="Q29" s="280"/>
      <c r="R29" s="343"/>
      <c r="S29" s="400" t="str">
        <f>+Tabla1[[#This Row],[Línea]]</f>
        <v>Smiths Medical</v>
      </c>
      <c r="T29" s="394">
        <f>+Tabla1[[#This Row],[MONTO NETO]]</f>
        <v>482051</v>
      </c>
    </row>
    <row r="30" spans="1:20" s="278" customFormat="1" ht="16.5">
      <c r="A30" s="356" t="s">
        <v>310</v>
      </c>
      <c r="B30" s="361" t="s">
        <v>342</v>
      </c>
      <c r="C30" s="328">
        <v>482051</v>
      </c>
      <c r="D30" s="391" t="s">
        <v>350</v>
      </c>
      <c r="E30" s="374" t="s">
        <v>371</v>
      </c>
      <c r="F30" s="338"/>
      <c r="G30" s="348" t="s">
        <v>422</v>
      </c>
      <c r="H30" s="48">
        <v>237955</v>
      </c>
      <c r="I30" s="48" t="s">
        <v>423</v>
      </c>
      <c r="J30" s="280">
        <v>172620</v>
      </c>
      <c r="K30" s="338"/>
      <c r="L30" s="338"/>
      <c r="M30">
        <v>313111</v>
      </c>
      <c r="N30" s="334"/>
      <c r="O30" s="391" t="str">
        <f>+Tabla1[[#This Row],[REALIZADO]]</f>
        <v>F Pavez</v>
      </c>
      <c r="P30" s="387">
        <f>+Tabla1[[#This Row],[MONTO NETO]]</f>
        <v>482051</v>
      </c>
      <c r="Q30" s="338"/>
      <c r="R30" s="344"/>
      <c r="S30" s="400" t="str">
        <f>+Tabla1[[#This Row],[Línea]]</f>
        <v>Smiths Medical</v>
      </c>
      <c r="T30" s="394">
        <f>+Tabla1[[#This Row],[MONTO NETO]]</f>
        <v>482051</v>
      </c>
    </row>
    <row r="31" spans="1:20" s="278" customFormat="1" ht="16.5">
      <c r="A31" s="356" t="s">
        <v>310</v>
      </c>
      <c r="B31" s="361" t="s">
        <v>342</v>
      </c>
      <c r="C31" s="328">
        <v>482051</v>
      </c>
      <c r="D31" s="391" t="s">
        <v>350</v>
      </c>
      <c r="E31" s="374" t="s">
        <v>371</v>
      </c>
      <c r="F31" s="338"/>
      <c r="G31" s="348" t="s">
        <v>426</v>
      </c>
      <c r="H31" s="338">
        <v>238100</v>
      </c>
      <c r="I31" t="s">
        <v>427</v>
      </c>
      <c r="J31" s="280">
        <v>172621</v>
      </c>
      <c r="K31" s="338"/>
      <c r="L31" s="338"/>
      <c r="M31">
        <v>313112</v>
      </c>
      <c r="N31" s="334"/>
      <c r="O31" s="391" t="str">
        <f>+Tabla1[[#This Row],[REALIZADO]]</f>
        <v>F Pavez</v>
      </c>
      <c r="P31" s="387">
        <f>+Tabla1[[#This Row],[MONTO NETO]]</f>
        <v>482051</v>
      </c>
      <c r="Q31" s="338"/>
      <c r="R31" s="344"/>
      <c r="S31" s="400" t="str">
        <f>+Tabla1[[#This Row],[Línea]]</f>
        <v>Smiths Medical</v>
      </c>
      <c r="T31" s="394">
        <f>+Tabla1[[#This Row],[MONTO NETO]]</f>
        <v>482051</v>
      </c>
    </row>
    <row r="32" spans="1:20" s="278" customFormat="1" ht="16.5">
      <c r="A32" s="356" t="s">
        <v>310</v>
      </c>
      <c r="B32" s="361" t="s">
        <v>342</v>
      </c>
      <c r="C32" s="328">
        <v>295555</v>
      </c>
      <c r="D32" s="391" t="s">
        <v>350</v>
      </c>
      <c r="E32" s="374" t="s">
        <v>371</v>
      </c>
      <c r="F32" s="280"/>
      <c r="G32" s="348" t="s">
        <v>430</v>
      </c>
      <c r="H32" s="280">
        <v>237958</v>
      </c>
      <c r="I32" s="280" t="s">
        <v>431</v>
      </c>
      <c r="J32" s="280">
        <v>172623</v>
      </c>
      <c r="K32" s="280"/>
      <c r="L32" s="280"/>
      <c r="M32">
        <v>313113</v>
      </c>
      <c r="N32" s="297"/>
      <c r="O32" s="391" t="str">
        <f>+Tabla1[[#This Row],[REALIZADO]]</f>
        <v>F Pavez</v>
      </c>
      <c r="P32" s="387">
        <f>+Tabla1[[#This Row],[MONTO NETO]]</f>
        <v>295555</v>
      </c>
      <c r="Q32" s="280"/>
      <c r="R32" s="343"/>
      <c r="S32" s="400" t="str">
        <f>+Tabla1[[#This Row],[Línea]]</f>
        <v>Smiths Medical</v>
      </c>
      <c r="T32" s="394">
        <f>+Tabla1[[#This Row],[MONTO NETO]]</f>
        <v>295555</v>
      </c>
    </row>
    <row r="33" spans="1:20" s="278" customFormat="1" ht="16.5">
      <c r="A33" s="356" t="s">
        <v>310</v>
      </c>
      <c r="B33" s="361" t="s">
        <v>342</v>
      </c>
      <c r="C33" s="328">
        <v>295555</v>
      </c>
      <c r="D33" s="297" t="s">
        <v>350</v>
      </c>
      <c r="E33" s="374" t="s">
        <v>371</v>
      </c>
      <c r="F33" s="280"/>
      <c r="G33" s="348" t="s">
        <v>434</v>
      </c>
      <c r="H33" s="280">
        <v>238102</v>
      </c>
      <c r="I33" s="280" t="s">
        <v>435</v>
      </c>
      <c r="J33" s="280">
        <v>172622</v>
      </c>
      <c r="K33" s="280"/>
      <c r="L33" s="280"/>
      <c r="M33">
        <v>313114</v>
      </c>
      <c r="N33" s="297"/>
      <c r="O33" s="361" t="str">
        <f>+Tabla1[[#This Row],[REALIZADO]]</f>
        <v>F Pavez</v>
      </c>
      <c r="P33" s="387">
        <f>+Tabla1[[#This Row],[MONTO NETO]]</f>
        <v>295555</v>
      </c>
      <c r="Q33" s="280"/>
      <c r="R33" s="421"/>
      <c r="S33" s="424" t="str">
        <f>+Tabla1[[#This Row],[Línea]]</f>
        <v>Smiths Medical</v>
      </c>
      <c r="T33" s="394">
        <f>+Tabla1[[#This Row],[MONTO NETO]]</f>
        <v>295555</v>
      </c>
    </row>
    <row r="34" spans="1:20" s="278" customFormat="1" ht="16.5">
      <c r="A34" s="356" t="s">
        <v>310</v>
      </c>
      <c r="B34" s="361" t="s">
        <v>438</v>
      </c>
      <c r="C34" s="328">
        <v>6496486</v>
      </c>
      <c r="D34" s="297" t="s">
        <v>358</v>
      </c>
      <c r="E34" s="374" t="s">
        <v>368</v>
      </c>
      <c r="F34" s="280"/>
      <c r="G34" s="280" t="s">
        <v>439</v>
      </c>
      <c r="H34" s="280">
        <v>244659</v>
      </c>
      <c r="I34" s="280"/>
      <c r="J34" s="280">
        <v>182358</v>
      </c>
      <c r="K34" s="280"/>
      <c r="L34" s="280"/>
      <c r="M34">
        <v>313096</v>
      </c>
      <c r="N34" s="297"/>
      <c r="O34" s="361" t="str">
        <f>+Tabla1[[#This Row],[REALIZADO]]</f>
        <v>Cencomex</v>
      </c>
      <c r="P34" s="387">
        <f>+Tabla1[[#This Row],[MONTO NETO]]</f>
        <v>6496486</v>
      </c>
      <c r="Q34" s="280"/>
      <c r="R34" s="421"/>
      <c r="S34" s="424" t="str">
        <f>+Tabla1[[#This Row],[Línea]]</f>
        <v>Quanta</v>
      </c>
      <c r="T34" s="394">
        <f>+Tabla1[[#This Row],[MONTO NETO]]</f>
        <v>6496486</v>
      </c>
    </row>
    <row r="35" spans="1:20" s="278" customFormat="1" ht="16.5">
      <c r="A35" s="356" t="s">
        <v>310</v>
      </c>
      <c r="B35" s="361" t="s">
        <v>438</v>
      </c>
      <c r="C35" s="328">
        <v>3189184</v>
      </c>
      <c r="D35" s="297" t="s">
        <v>358</v>
      </c>
      <c r="E35" s="374" t="s">
        <v>368</v>
      </c>
      <c r="F35" s="280"/>
      <c r="G35" s="280" t="s">
        <v>440</v>
      </c>
      <c r="H35" s="280">
        <v>244658</v>
      </c>
      <c r="I35" s="280"/>
      <c r="J35" s="280">
        <v>182357</v>
      </c>
      <c r="K35" s="280"/>
      <c r="L35" s="280"/>
      <c r="M35">
        <v>313097</v>
      </c>
      <c r="N35" s="297"/>
      <c r="O35" s="361" t="str">
        <f>+Tabla1[[#This Row],[REALIZADO]]</f>
        <v>Cencomex</v>
      </c>
      <c r="P35" s="387">
        <f>+Tabla1[[#This Row],[MONTO NETO]]</f>
        <v>3189184</v>
      </c>
      <c r="Q35" s="280"/>
      <c r="R35" s="421"/>
      <c r="S35" s="424" t="str">
        <f>+Tabla1[[#This Row],[Línea]]</f>
        <v>Quanta</v>
      </c>
      <c r="T35" s="394">
        <f>+Tabla1[[#This Row],[MONTO NETO]]</f>
        <v>3189184</v>
      </c>
    </row>
    <row r="36" spans="1:20" s="278" customFormat="1" ht="16.5">
      <c r="A36" s="356" t="s">
        <v>310</v>
      </c>
      <c r="B36" s="411" t="s">
        <v>372</v>
      </c>
      <c r="C36" s="355">
        <v>324441</v>
      </c>
      <c r="D36" s="391" t="s">
        <v>358</v>
      </c>
      <c r="E36" s="374" t="s">
        <v>368</v>
      </c>
      <c r="F36" s="280"/>
      <c r="G36" s="412" t="s">
        <v>461</v>
      </c>
      <c r="H36" s="280">
        <v>247149</v>
      </c>
      <c r="I36" s="280"/>
      <c r="J36" s="280">
        <v>188656</v>
      </c>
      <c r="K36" s="280"/>
      <c r="L36" s="280"/>
      <c r="M36">
        <v>313323</v>
      </c>
      <c r="N36" s="297"/>
      <c r="O36" s="391" t="str">
        <f>+Tabla1[[#This Row],[REALIZADO]]</f>
        <v>Cencomex</v>
      </c>
      <c r="P36" s="387">
        <f>+Tabla1[[#This Row],[MONTO NETO]]</f>
        <v>324441</v>
      </c>
      <c r="Q36" s="280"/>
      <c r="R36" s="343"/>
      <c r="S36" s="400" t="str">
        <f>+Tabla1[[#This Row],[Línea]]</f>
        <v>Quanta</v>
      </c>
      <c r="T36" s="394">
        <f>+Tabla1[[#This Row],[MONTO NETO]]</f>
        <v>324441</v>
      </c>
    </row>
    <row r="37" spans="1:20" s="278" customFormat="1">
      <c r="A37" s="331"/>
      <c r="B37" s="361"/>
      <c r="C37" s="328"/>
      <c r="D37" s="297"/>
      <c r="E37" s="374"/>
      <c r="F37" s="280"/>
      <c r="G37" s="380"/>
      <c r="H37" s="374"/>
      <c r="I37" s="280"/>
      <c r="J37" s="280"/>
      <c r="K37" s="280"/>
      <c r="L37" s="280"/>
      <c r="M37" s="374"/>
      <c r="N37" s="297"/>
      <c r="O37" s="361">
        <f>+Tabla1[[#This Row],[REALIZADO]]</f>
        <v>0</v>
      </c>
      <c r="P37" s="387"/>
      <c r="Q37" s="280"/>
      <c r="R37" s="421"/>
      <c r="S37" s="424">
        <f>+Tabla1[[#This Row],[Línea]]</f>
        <v>0</v>
      </c>
      <c r="T37" s="394">
        <f>+Tabla1[[#This Row],[MONTO NETO]]</f>
        <v>0</v>
      </c>
    </row>
    <row r="38" spans="1:20" s="278" customFormat="1">
      <c r="A38" s="331"/>
      <c r="B38" s="361"/>
      <c r="C38" s="328"/>
      <c r="D38" s="297"/>
      <c r="E38" s="374"/>
      <c r="F38" s="280"/>
      <c r="G38" s="280"/>
      <c r="H38" s="280"/>
      <c r="I38" s="280"/>
      <c r="J38" s="280"/>
      <c r="K38" s="280"/>
      <c r="L38" s="280"/>
      <c r="M38" s="374"/>
      <c r="N38" s="297"/>
      <c r="O38" s="361">
        <f>+Tabla1[[#This Row],[REALIZADO]]</f>
        <v>0</v>
      </c>
      <c r="P38" s="387"/>
      <c r="Q38" s="280"/>
      <c r="R38" s="421"/>
      <c r="S38" s="424">
        <f>+Tabla1[[#This Row],[Línea]]</f>
        <v>0</v>
      </c>
      <c r="T38" s="394">
        <f>+Tabla1[[#This Row],[MONTO NETO]]</f>
        <v>0</v>
      </c>
    </row>
    <row r="39" spans="1:20" s="278" customFormat="1">
      <c r="A39" s="331"/>
      <c r="B39" s="361"/>
      <c r="C39" s="328"/>
      <c r="D39" s="297"/>
      <c r="E39" s="374"/>
      <c r="F39" s="280"/>
      <c r="G39" s="280"/>
      <c r="H39" s="280"/>
      <c r="I39" s="280"/>
      <c r="J39" s="280"/>
      <c r="K39" s="280"/>
      <c r="L39" s="280"/>
      <c r="M39" s="374"/>
      <c r="N39" s="297"/>
      <c r="O39" s="361">
        <f>+Tabla1[[#This Row],[REALIZADO]]</f>
        <v>0</v>
      </c>
      <c r="P39" s="387"/>
      <c r="Q39" s="280"/>
      <c r="R39" s="421"/>
      <c r="S39" s="424">
        <f>+Tabla1[[#This Row],[Línea]]</f>
        <v>0</v>
      </c>
      <c r="T39" s="394">
        <f>+Tabla1[[#This Row],[MONTO NETO]]</f>
        <v>0</v>
      </c>
    </row>
    <row r="40" spans="1:20" s="278" customFormat="1">
      <c r="A40" s="331"/>
      <c r="B40" s="361"/>
      <c r="C40" s="328"/>
      <c r="D40" s="297"/>
      <c r="E40" s="374"/>
      <c r="F40" s="280"/>
      <c r="G40" s="280"/>
      <c r="H40" s="280"/>
      <c r="I40" s="280"/>
      <c r="J40" s="280"/>
      <c r="K40" s="280"/>
      <c r="L40" s="280"/>
      <c r="M40" s="374"/>
      <c r="N40" s="297"/>
      <c r="O40" s="361">
        <f>+Tabla1[[#This Row],[REALIZADO]]</f>
        <v>0</v>
      </c>
      <c r="P40" s="387"/>
      <c r="Q40" s="280"/>
      <c r="R40" s="421"/>
      <c r="S40" s="424">
        <f>+Tabla1[[#This Row],[Línea]]</f>
        <v>0</v>
      </c>
      <c r="T40" s="394">
        <f>+Tabla1[[#This Row],[MONTO NETO]]</f>
        <v>0</v>
      </c>
    </row>
    <row r="41" spans="1:20" s="278" customFormat="1">
      <c r="A41" s="331"/>
      <c r="B41" s="361"/>
      <c r="C41" s="328"/>
      <c r="D41" s="297"/>
      <c r="E41" s="374"/>
      <c r="F41" s="280"/>
      <c r="G41" s="280"/>
      <c r="H41" s="280"/>
      <c r="I41" s="280"/>
      <c r="J41" s="280"/>
      <c r="K41" s="280"/>
      <c r="L41" s="280"/>
      <c r="M41" s="374"/>
      <c r="N41" s="297"/>
      <c r="O41" s="361">
        <f>+Tabla1[[#This Row],[REALIZADO]]</f>
        <v>0</v>
      </c>
      <c r="P41" s="387"/>
      <c r="Q41" s="280"/>
      <c r="R41" s="421"/>
      <c r="S41" s="424">
        <f>+Tabla1[[#This Row],[Línea]]</f>
        <v>0</v>
      </c>
      <c r="T41" s="394">
        <f>+Tabla1[[#This Row],[MONTO NETO]]</f>
        <v>0</v>
      </c>
    </row>
    <row r="42" spans="1:20" s="278" customFormat="1">
      <c r="A42" s="331"/>
      <c r="B42" s="361"/>
      <c r="C42" s="328"/>
      <c r="D42" s="391"/>
      <c r="E42" s="374"/>
      <c r="F42" s="280"/>
      <c r="G42" s="280"/>
      <c r="H42" s="280"/>
      <c r="I42" s="280"/>
      <c r="J42" s="280"/>
      <c r="K42" s="280"/>
      <c r="L42" s="280"/>
      <c r="M42" s="374"/>
      <c r="N42" s="297"/>
      <c r="O42" s="391">
        <f>+Tabla1[[#This Row],[REALIZADO]]</f>
        <v>0</v>
      </c>
      <c r="P42" s="387">
        <f>+Tabla1[[#This Row],[MONTO NETO]]</f>
        <v>0</v>
      </c>
      <c r="Q42" s="280"/>
      <c r="R42" s="343"/>
      <c r="S42" s="400">
        <f>+Tabla1[[#This Row],[Línea]]</f>
        <v>0</v>
      </c>
      <c r="T42" s="394">
        <f>+Tabla1[[#This Row],[MONTO NETO]]</f>
        <v>0</v>
      </c>
    </row>
    <row r="43" spans="1:20" s="278" customFormat="1">
      <c r="A43" s="333"/>
      <c r="B43" s="357"/>
      <c r="C43" s="355"/>
      <c r="D43" s="334"/>
      <c r="E43" s="335"/>
      <c r="F43" s="336"/>
      <c r="G43" s="334"/>
      <c r="H43" s="338"/>
      <c r="I43"/>
      <c r="J43" s="337"/>
      <c r="K43" s="338"/>
      <c r="L43" s="341"/>
      <c r="M43" s="338"/>
      <c r="N43" s="334"/>
      <c r="O43" s="334"/>
      <c r="P43" s="388"/>
      <c r="Q43" s="338"/>
      <c r="R43" s="344"/>
      <c r="S43" s="401"/>
      <c r="T43" s="370"/>
    </row>
    <row r="44" spans="1:20" ht="16.5">
      <c r="A44" s="356" t="s">
        <v>310</v>
      </c>
      <c r="B44" s="260" t="s">
        <v>1</v>
      </c>
      <c r="C44" s="369">
        <f>SUM(C4:C42)</f>
        <v>33517653.2689</v>
      </c>
      <c r="F44" s="261"/>
      <c r="G44" s="340" t="s">
        <v>47</v>
      </c>
      <c r="H44" s="340" t="s">
        <v>155</v>
      </c>
      <c r="I44" s="262" t="s">
        <v>154</v>
      </c>
      <c r="J44" s="439" t="s">
        <v>153</v>
      </c>
      <c r="K44" s="439"/>
      <c r="L44" s="439"/>
      <c r="M44" s="439"/>
      <c r="N44" s="263"/>
      <c r="S44" s="402"/>
    </row>
    <row r="45" spans="1:20">
      <c r="B45" s="260" t="s">
        <v>280</v>
      </c>
      <c r="C45" s="345">
        <v>21000000</v>
      </c>
      <c r="F45" s="440" t="s">
        <v>345</v>
      </c>
      <c r="G45" s="440"/>
      <c r="H45" s="232">
        <v>4000000</v>
      </c>
      <c r="I45" s="295">
        <f ca="1">SUMIF(Tabla1[[ENCARGADO]:[CONTACTO]],'41-45'!B6,Tabla1[MONTO NETO])</f>
        <v>4446897</v>
      </c>
      <c r="J45" s="438">
        <f t="shared" ref="J45" ca="1" si="0">I45/H45*100</f>
        <v>111.172425</v>
      </c>
      <c r="K45" s="438"/>
      <c r="L45" s="438"/>
      <c r="M45" s="438"/>
      <c r="N45" s="346"/>
      <c r="O45" s="264"/>
      <c r="Q45" s="264"/>
      <c r="S45" s="402"/>
    </row>
    <row r="46" spans="1:20">
      <c r="B46" s="265"/>
      <c r="C46" s="320"/>
      <c r="F46" s="440" t="s">
        <v>346</v>
      </c>
      <c r="G46" s="440"/>
      <c r="H46" s="232">
        <v>4000000</v>
      </c>
      <c r="I46" s="295">
        <f ca="1">SUMIF(Tabla1[[ENCARGADO]:[CONTACTO]],'41-45'!B9,Tabla1[MONTO NETO])</f>
        <v>0</v>
      </c>
      <c r="J46" s="438">
        <f t="shared" ref="J46" ca="1" si="1">I46/H46*100</f>
        <v>0</v>
      </c>
      <c r="K46" s="438"/>
      <c r="L46" s="438"/>
      <c r="M46" s="438"/>
      <c r="N46" s="346"/>
      <c r="O46" s="264"/>
      <c r="Q46" s="264"/>
      <c r="R46" s="342"/>
      <c r="S46" s="402"/>
    </row>
    <row r="47" spans="1:20">
      <c r="B47" s="266" t="s">
        <v>152</v>
      </c>
      <c r="C47" s="358">
        <f>+C44/C45</f>
        <v>1.5960787270904762</v>
      </c>
      <c r="F47" s="440" t="s">
        <v>347</v>
      </c>
      <c r="G47" s="440"/>
      <c r="H47" s="232">
        <v>4000000</v>
      </c>
      <c r="I47" s="295">
        <f ca="1">SUMIF(Tabla1[[ENCARGADO]:[CONTACTO]],'41-45'!B8,Tabla1[MONTO NETO])</f>
        <v>0</v>
      </c>
      <c r="J47" s="438">
        <f t="shared" ref="J47:J52" ca="1" si="2">I47/H47*100</f>
        <v>0</v>
      </c>
      <c r="K47" s="438"/>
      <c r="L47" s="438"/>
      <c r="M47" s="438"/>
      <c r="N47" s="346"/>
      <c r="O47" s="264"/>
      <c r="Q47" s="264"/>
      <c r="R47" s="342"/>
      <c r="S47" s="402"/>
    </row>
    <row r="48" spans="1:20">
      <c r="B48" s="265"/>
      <c r="C48" s="347"/>
      <c r="F48" s="440" t="s">
        <v>281</v>
      </c>
      <c r="G48" s="440"/>
      <c r="H48" s="232">
        <v>7000000</v>
      </c>
      <c r="I48" s="295">
        <f ca="1">SUMIF(Tabla1[[ENCARGADO]:[CONTACTO]],'41-45'!B3,Tabla1[MONTO NETO])</f>
        <v>452160</v>
      </c>
      <c r="J48" s="438">
        <f t="shared" ca="1" si="2"/>
        <v>6.4594285714285711</v>
      </c>
      <c r="K48" s="438"/>
      <c r="L48" s="438"/>
      <c r="M48" s="438"/>
      <c r="N48" s="346"/>
      <c r="O48" s="264"/>
      <c r="Q48" s="264"/>
      <c r="R48" s="342"/>
      <c r="S48" s="402"/>
    </row>
    <row r="49" spans="1:20">
      <c r="B49" s="342"/>
      <c r="C49" s="342"/>
      <c r="F49" s="440" t="s">
        <v>348</v>
      </c>
      <c r="G49" s="440"/>
      <c r="H49" s="232">
        <v>4000000</v>
      </c>
      <c r="I49" s="295">
        <f ca="1">SUMIF(Tabla1[[ENCARGADO]:[CONTACTO]],'41-45'!B10,Tabla1[MONTO NETO])</f>
        <v>0</v>
      </c>
      <c r="J49" s="438">
        <f t="shared" ca="1" si="2"/>
        <v>0</v>
      </c>
      <c r="K49" s="438"/>
      <c r="L49" s="438"/>
      <c r="M49" s="438"/>
      <c r="N49" s="346"/>
      <c r="O49" s="264"/>
      <c r="Q49" s="264"/>
      <c r="R49" s="342"/>
      <c r="S49" s="402"/>
    </row>
    <row r="50" spans="1:20" s="278" customFormat="1">
      <c r="A50" s="319"/>
      <c r="B50" s="257"/>
      <c r="C50" s="296"/>
      <c r="D50" s="231"/>
      <c r="E50" s="231"/>
      <c r="F50" s="440" t="s">
        <v>282</v>
      </c>
      <c r="G50" s="440"/>
      <c r="H50" s="232">
        <v>7000000</v>
      </c>
      <c r="I50" s="295">
        <f ca="1">SUMIF(Tabla1[[ENCARGADO]:[CONTACTO]],'41-45'!B2,Tabla1[MONTO NETO])</f>
        <v>0</v>
      </c>
      <c r="J50" s="438">
        <f t="shared" ca="1" si="2"/>
        <v>0</v>
      </c>
      <c r="K50" s="438"/>
      <c r="L50" s="438"/>
      <c r="M50" s="438"/>
      <c r="N50" s="257"/>
      <c r="O50" s="257"/>
      <c r="P50" s="389"/>
      <c r="Q50" s="257"/>
      <c r="R50" s="342"/>
      <c r="S50" s="402"/>
      <c r="T50" s="370"/>
    </row>
    <row r="51" spans="1:20" s="278" customFormat="1">
      <c r="A51" s="319"/>
      <c r="B51" s="257"/>
      <c r="C51" s="296"/>
      <c r="D51" s="231"/>
      <c r="E51" s="231"/>
      <c r="F51" s="440" t="s">
        <v>107</v>
      </c>
      <c r="G51" s="440"/>
      <c r="H51" s="232">
        <v>2000000</v>
      </c>
      <c r="I51" s="295">
        <f ca="1">SUMIF(Tabla1[[ENCARGADO]:[CONTACTO]],'41-45'!B4,Tabla1[MONTO NETO])</f>
        <v>0</v>
      </c>
      <c r="J51" s="438">
        <f t="shared" ca="1" si="2"/>
        <v>0</v>
      </c>
      <c r="K51" s="438"/>
      <c r="L51" s="438"/>
      <c r="M51" s="438"/>
      <c r="N51" s="257"/>
      <c r="O51" s="257"/>
      <c r="P51" s="389"/>
      <c r="Q51" s="257"/>
      <c r="R51" s="342"/>
      <c r="S51" s="402"/>
      <c r="T51" s="370"/>
    </row>
    <row r="52" spans="1:20" s="278" customFormat="1">
      <c r="A52" s="319"/>
      <c r="B52" s="257"/>
      <c r="C52" s="296"/>
      <c r="D52" s="231"/>
      <c r="E52" s="231"/>
      <c r="F52" s="441" t="s">
        <v>214</v>
      </c>
      <c r="G52" s="442"/>
      <c r="H52" s="232">
        <v>7000000</v>
      </c>
      <c r="I52" s="295">
        <f ca="1">SUMIF(Tabla1[[ENCARGADO]:[CONTACTO]],'41-45'!B7,Tabla1[MONTO NETO])</f>
        <v>2531600</v>
      </c>
      <c r="J52" s="438">
        <f t="shared" ca="1" si="2"/>
        <v>36.165714285714287</v>
      </c>
      <c r="K52" s="438"/>
      <c r="L52" s="438"/>
      <c r="M52" s="438"/>
      <c r="N52" s="257"/>
      <c r="O52" s="257"/>
      <c r="P52" s="389"/>
      <c r="Q52" s="257"/>
      <c r="R52" s="342"/>
      <c r="S52" s="402"/>
      <c r="T52" s="370"/>
    </row>
    <row r="53" spans="1:20">
      <c r="A53" s="319"/>
      <c r="C53" s="296"/>
      <c r="F53" s="443" t="s">
        <v>358</v>
      </c>
      <c r="G53" s="444"/>
      <c r="H53" s="392">
        <f>+C45</f>
        <v>21000000</v>
      </c>
      <c r="I53" s="295">
        <f ca="1">SUMIF(Tabla1[[ENCARGADO]:[CONTACTO]],'41-45'!B11,Tabla1[MONTO NETO])</f>
        <v>26086996.2689</v>
      </c>
      <c r="J53" s="339"/>
      <c r="K53" s="339"/>
      <c r="L53" s="339"/>
      <c r="M53" s="339"/>
      <c r="R53" s="342"/>
      <c r="S53" s="402"/>
    </row>
    <row r="54" spans="1:20">
      <c r="A54" s="319"/>
      <c r="C54" s="296"/>
      <c r="F54" s="437"/>
      <c r="G54" s="437"/>
      <c r="I54" s="405">
        <f ca="1">SUM(I45:I53)</f>
        <v>33517653.2689</v>
      </c>
      <c r="J54" s="438">
        <v>4.718</v>
      </c>
      <c r="K54" s="439"/>
      <c r="L54" s="439"/>
      <c r="M54" s="439"/>
      <c r="R54" s="342"/>
      <c r="S54" s="402"/>
    </row>
    <row r="55" spans="1:20" s="278" customFormat="1" ht="16.5" customHeight="1">
      <c r="A55" s="319"/>
      <c r="B55" s="257"/>
      <c r="C55" s="320"/>
      <c r="D55" s="231"/>
      <c r="E55" s="318"/>
      <c r="F55" s="437"/>
      <c r="G55" s="437"/>
      <c r="H55" s="230"/>
      <c r="I55" s="259"/>
      <c r="J55" s="230"/>
      <c r="K55" s="230"/>
      <c r="L55" s="230"/>
      <c r="M55" s="257"/>
      <c r="N55" s="257"/>
      <c r="O55" s="257"/>
      <c r="P55" s="389"/>
      <c r="Q55" s="257"/>
      <c r="R55" s="342"/>
      <c r="S55" s="402"/>
      <c r="T55" s="370"/>
    </row>
    <row r="60" spans="1:20">
      <c r="G60" s="278"/>
      <c r="H60" s="403">
        <f ca="1">SUMIF(Tabla1[[Columna2]:[Columna3]],G60,T4:T36)</f>
        <v>0</v>
      </c>
    </row>
    <row r="61" spans="1:20">
      <c r="G61" s="278" t="str">
        <f>+'41-45'!F3</f>
        <v>Rauland</v>
      </c>
      <c r="H61" s="403">
        <f ca="1">SUMIF(Tabla1[[Columna2]:[Columna3]],G61,T4:T42)</f>
        <v>4963195</v>
      </c>
    </row>
    <row r="62" spans="1:20">
      <c r="G62" s="278" t="str">
        <f>+'41-45'!F4</f>
        <v>Elpas</v>
      </c>
      <c r="H62" s="403">
        <f ca="1">SUMIF(Tabla1[[Columna2]:[Columna3]],G62,T4:T42)</f>
        <v>414596.72629999998</v>
      </c>
    </row>
    <row r="63" spans="1:20">
      <c r="G63" s="278" t="str">
        <f>+'41-45'!F5</f>
        <v>Echosens</v>
      </c>
      <c r="H63" s="403">
        <f ca="1">SUMIF(Tabla1[[Columna2]:[Columna3]],G63,T4:T44)</f>
        <v>572822.46400000004</v>
      </c>
    </row>
    <row r="64" spans="1:20">
      <c r="G64" s="278" t="str">
        <f>+'41-45'!F6</f>
        <v>Edap-TMS</v>
      </c>
      <c r="H64" s="403">
        <f ca="1">SUMIF(Tabla1[[Columna2]:[Columna3]],G64,T4:T45)</f>
        <v>7277591</v>
      </c>
    </row>
    <row r="65" spans="7:8">
      <c r="G65" s="278" t="str">
        <f>+'41-45'!F7</f>
        <v>Qcore</v>
      </c>
      <c r="H65" s="403">
        <f ca="1">SUMIF(Tabla1[[Columna2]:[Columna3]],G65,T4:T46)</f>
        <v>352305</v>
      </c>
    </row>
    <row r="66" spans="7:8">
      <c r="G66" s="278" t="str">
        <f>+'41-45'!F8</f>
        <v>Guldmann</v>
      </c>
      <c r="H66" s="403">
        <f ca="1">SUMIF(Tabla1[[Columna2]:[Columna3]],G66,T4:T46)</f>
        <v>0</v>
      </c>
    </row>
    <row r="67" spans="7:8">
      <c r="G67" s="278" t="str">
        <f>+'41-45'!F9</f>
        <v>Koelis</v>
      </c>
      <c r="H67" s="403">
        <f ca="1">SUMIF(Tabla1[[Columna2]:[Columna3]],G67,T4:T46)</f>
        <v>995438</v>
      </c>
    </row>
    <row r="68" spans="7:8">
      <c r="G68" s="278" t="str">
        <f>+'41-45'!F2</f>
        <v>Quanta</v>
      </c>
      <c r="H68" s="403">
        <f ca="1">SUMIF(Tabla1[[Columna2]:[Columna3]],G68,T4:T46)</f>
        <v>14847113.078600001</v>
      </c>
    </row>
    <row r="69" spans="7:8">
      <c r="G69" s="278" t="str">
        <f>+'41-45'!F11</f>
        <v>Smiths Medical</v>
      </c>
      <c r="H69" s="403">
        <f ca="1">SUMIF(Tabla1[[Columna2]:[Columna3]],G69,T4:T47)</f>
        <v>4094592</v>
      </c>
    </row>
    <row r="70" spans="7:8">
      <c r="H70" s="404">
        <f ca="1">SUM(H60:H69)</f>
        <v>33517653.2689</v>
      </c>
    </row>
  </sheetData>
  <mergeCells count="22">
    <mergeCell ref="F47:G47"/>
    <mergeCell ref="F48:G48"/>
    <mergeCell ref="F49:G49"/>
    <mergeCell ref="J46:M46"/>
    <mergeCell ref="J47:M47"/>
    <mergeCell ref="J48:M48"/>
    <mergeCell ref="J49:M49"/>
    <mergeCell ref="A1:R2"/>
    <mergeCell ref="J45:M45"/>
    <mergeCell ref="J44:M44"/>
    <mergeCell ref="F45:G45"/>
    <mergeCell ref="F46:G46"/>
    <mergeCell ref="F54:G54"/>
    <mergeCell ref="F55:G55"/>
    <mergeCell ref="J50:M50"/>
    <mergeCell ref="J54:M54"/>
    <mergeCell ref="F50:G50"/>
    <mergeCell ref="J51:M51"/>
    <mergeCell ref="J52:M52"/>
    <mergeCell ref="F52:G52"/>
    <mergeCell ref="F53:G53"/>
    <mergeCell ref="F51:G51"/>
  </mergeCells>
  <phoneticPr fontId="65" type="noConversion"/>
  <conditionalFormatting sqref="A43 A11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294BC6-5A2B-4ED8-923F-F4644A5C850F}">
          <x14:formula1>
            <xm:f>'41-45'!$B$2:$B$10</xm:f>
          </x14:formula1>
          <xm:sqref>D4:D42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topLeftCell="A16" workbookViewId="0">
      <selection activeCell="B3" sqref="B3:C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46" t="s">
        <v>22</v>
      </c>
      <c r="C2" s="447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3">
        <v>1</v>
      </c>
      <c r="F4" s="293" t="s">
        <v>222</v>
      </c>
      <c r="G4" s="288" t="s">
        <v>223</v>
      </c>
      <c r="H4" s="203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4">
        <v>1</v>
      </c>
      <c r="F5" s="210">
        <v>111110000</v>
      </c>
      <c r="G5" s="199" t="s">
        <v>224</v>
      </c>
      <c r="H5" s="195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5"/>
      <c r="F6" s="176"/>
      <c r="G6" s="184"/>
      <c r="H6" s="186"/>
      <c r="I6" s="33">
        <f t="shared" si="0"/>
        <v>0</v>
      </c>
    </row>
    <row r="7" spans="1:9">
      <c r="B7" s="168">
        <v>38827</v>
      </c>
      <c r="C7" s="169" t="s">
        <v>93</v>
      </c>
      <c r="E7" s="101"/>
      <c r="F7" s="176"/>
      <c r="G7" s="179"/>
      <c r="H7" s="187"/>
      <c r="I7" s="33">
        <f t="shared" si="0"/>
        <v>0</v>
      </c>
    </row>
    <row r="8" spans="1:9">
      <c r="B8" s="168">
        <v>18942</v>
      </c>
      <c r="C8" s="169" t="s">
        <v>94</v>
      </c>
      <c r="E8" s="101"/>
      <c r="F8" s="176"/>
      <c r="G8" s="179"/>
      <c r="H8" s="187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79"/>
      <c r="G9" s="179"/>
      <c r="H9" s="188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33" t="s">
        <v>110</v>
      </c>
      <c r="F19" s="433"/>
      <c r="G19" s="433"/>
      <c r="H19" s="433"/>
      <c r="I19" s="433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3"/>
  <sheetViews>
    <sheetView topLeftCell="A22" workbookViewId="0">
      <selection activeCell="C35" sqref="C3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7" t="s">
        <v>88</v>
      </c>
      <c r="C2" s="367" t="s">
        <v>3</v>
      </c>
      <c r="L2">
        <v>180</v>
      </c>
    </row>
    <row r="3" spans="2:12">
      <c r="B3" s="278" t="s">
        <v>333</v>
      </c>
      <c r="C3" s="278" t="s">
        <v>324</v>
      </c>
    </row>
    <row r="4" spans="2:12">
      <c r="B4" s="278" t="s">
        <v>319</v>
      </c>
      <c r="C4" s="365" t="s">
        <v>209</v>
      </c>
    </row>
    <row r="5" spans="2:12">
      <c r="B5" s="368" t="s">
        <v>336</v>
      </c>
      <c r="C5" s="368" t="s">
        <v>337</v>
      </c>
    </row>
    <row r="6" spans="2:12">
      <c r="B6" s="278" t="s">
        <v>102</v>
      </c>
      <c r="C6" s="278" t="s">
        <v>103</v>
      </c>
    </row>
    <row r="7" spans="2:12">
      <c r="B7" s="278" t="s">
        <v>99</v>
      </c>
      <c r="C7" s="278" t="s">
        <v>91</v>
      </c>
    </row>
    <row r="8" spans="2:12">
      <c r="B8" s="278" t="s">
        <v>112</v>
      </c>
      <c r="C8" s="278" t="s">
        <v>90</v>
      </c>
    </row>
    <row r="9" spans="2:12">
      <c r="B9" s="278" t="s">
        <v>342</v>
      </c>
      <c r="C9" s="278" t="s">
        <v>343</v>
      </c>
    </row>
    <row r="10" spans="2:12">
      <c r="B10" s="278" t="s">
        <v>111</v>
      </c>
      <c r="C10" s="278" t="s">
        <v>45</v>
      </c>
    </row>
    <row r="11" spans="2:12">
      <c r="B11" s="278" t="s">
        <v>95</v>
      </c>
      <c r="C11" s="278" t="s">
        <v>96</v>
      </c>
      <c r="E11" s="433" t="s">
        <v>110</v>
      </c>
      <c r="F11" s="433"/>
      <c r="G11" s="433"/>
      <c r="H11" s="433"/>
      <c r="I11" s="433"/>
    </row>
    <row r="12" spans="2:12">
      <c r="B12" s="278" t="s">
        <v>86</v>
      </c>
      <c r="C12" s="278" t="s">
        <v>87</v>
      </c>
    </row>
    <row r="13" spans="2:12">
      <c r="B13" s="278" t="s">
        <v>119</v>
      </c>
      <c r="C13" s="278" t="s">
        <v>89</v>
      </c>
    </row>
    <row r="14" spans="2:12">
      <c r="B14" s="278" t="s">
        <v>104</v>
      </c>
      <c r="C14" s="278" t="s">
        <v>105</v>
      </c>
    </row>
    <row r="15" spans="2:12">
      <c r="B15" s="278" t="s">
        <v>328</v>
      </c>
      <c r="C15" s="278" t="s">
        <v>332</v>
      </c>
      <c r="E15" s="433" t="s">
        <v>117</v>
      </c>
      <c r="F15" s="433"/>
      <c r="G15" s="433"/>
      <c r="H15" s="433"/>
      <c r="I15" s="433"/>
    </row>
    <row r="16" spans="2:12">
      <c r="B16" s="278" t="s">
        <v>321</v>
      </c>
      <c r="C16" s="366" t="s">
        <v>322</v>
      </c>
    </row>
    <row r="17" spans="2:3">
      <c r="B17" s="278" t="s">
        <v>266</v>
      </c>
      <c r="C17" s="278" t="s">
        <v>325</v>
      </c>
    </row>
    <row r="18" spans="2:3">
      <c r="B18" s="278" t="s">
        <v>320</v>
      </c>
      <c r="C18" s="278" t="s">
        <v>238</v>
      </c>
    </row>
    <row r="19" spans="2:3">
      <c r="B19" s="368" t="s">
        <v>334</v>
      </c>
      <c r="C19" s="278" t="s">
        <v>335</v>
      </c>
    </row>
    <row r="20" spans="2:3">
      <c r="B20" s="278" t="s">
        <v>63</v>
      </c>
      <c r="C20" s="278" t="s">
        <v>69</v>
      </c>
    </row>
    <row r="21" spans="2:3">
      <c r="B21" s="368" t="s">
        <v>340</v>
      </c>
      <c r="C21" s="368" t="s">
        <v>341</v>
      </c>
    </row>
    <row r="22" spans="2:3">
      <c r="B22" s="278" t="s">
        <v>122</v>
      </c>
      <c r="C22" s="278" t="s">
        <v>123</v>
      </c>
    </row>
    <row r="23" spans="2:3">
      <c r="B23" s="278" t="s">
        <v>97</v>
      </c>
      <c r="C23" s="278" t="s">
        <v>98</v>
      </c>
    </row>
    <row r="24" spans="2:3">
      <c r="B24" s="278" t="s">
        <v>116</v>
      </c>
      <c r="C24" s="278" t="s">
        <v>115</v>
      </c>
    </row>
    <row r="25" spans="2:3">
      <c r="B25" s="278" t="s">
        <v>330</v>
      </c>
      <c r="C25" s="278" t="s">
        <v>331</v>
      </c>
    </row>
    <row r="26" spans="2:3">
      <c r="B26" s="278" t="s">
        <v>114</v>
      </c>
      <c r="C26" s="278" t="s">
        <v>113</v>
      </c>
    </row>
    <row r="27" spans="2:3">
      <c r="B27" s="278" t="s">
        <v>312</v>
      </c>
      <c r="C27" s="278" t="s">
        <v>327</v>
      </c>
    </row>
    <row r="28" spans="2:3">
      <c r="B28" s="278" t="s">
        <v>100</v>
      </c>
      <c r="C28" s="278" t="s">
        <v>101</v>
      </c>
    </row>
    <row r="29" spans="2:3">
      <c r="B29" s="110" t="s">
        <v>120</v>
      </c>
      <c r="C29" s="278" t="s">
        <v>121</v>
      </c>
    </row>
    <row r="30" spans="2:3">
      <c r="B30" s="278" t="s">
        <v>323</v>
      </c>
      <c r="C30" s="278" t="s">
        <v>289</v>
      </c>
    </row>
    <row r="31" spans="2:3">
      <c r="B31" s="278" t="s">
        <v>338</v>
      </c>
      <c r="C31" s="278" t="s">
        <v>339</v>
      </c>
    </row>
    <row r="32" spans="2:3">
      <c r="B32" s="278" t="s">
        <v>447</v>
      </c>
      <c r="C32" t="s">
        <v>448</v>
      </c>
    </row>
    <row r="33" spans="2:3">
      <c r="B33" s="278"/>
      <c r="C33" s="278"/>
    </row>
  </sheetData>
  <sortState xmlns:xlrd2="http://schemas.microsoft.com/office/spreadsheetml/2017/richdata2" ref="B3:C31">
    <sortCondition ref="B3:B31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33"/>
      <c r="C3" s="433"/>
      <c r="D3" s="433"/>
      <c r="E3" s="433"/>
      <c r="F3" s="433"/>
    </row>
    <row r="4" spans="2:6">
      <c r="B4" s="432" t="s">
        <v>287</v>
      </c>
      <c r="C4" s="432"/>
      <c r="D4" s="432"/>
      <c r="E4" s="432"/>
      <c r="F4" s="432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4" t="s">
        <v>238</v>
      </c>
      <c r="D6" s="6"/>
      <c r="E6" s="7" t="s">
        <v>4</v>
      </c>
      <c r="F6" s="6"/>
    </row>
    <row r="7" spans="2:6">
      <c r="B7" s="71" t="s">
        <v>5</v>
      </c>
      <c r="C7" s="275" t="s">
        <v>235</v>
      </c>
      <c r="D7" s="6"/>
      <c r="E7" s="11"/>
      <c r="F7" s="6"/>
    </row>
    <row r="8" spans="2:6">
      <c r="B8" s="71" t="s">
        <v>7</v>
      </c>
      <c r="C8" s="275">
        <v>103770</v>
      </c>
      <c r="D8" s="72"/>
      <c r="E8" s="11" t="s">
        <v>8</v>
      </c>
      <c r="F8" s="6"/>
    </row>
    <row r="9" spans="2:6">
      <c r="B9" s="73" t="s">
        <v>9</v>
      </c>
      <c r="C9" s="211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8">
        <v>3200000000</v>
      </c>
      <c r="C14" s="106" t="s">
        <v>286</v>
      </c>
      <c r="D14" s="276">
        <v>1</v>
      </c>
      <c r="E14" s="181">
        <v>1631129</v>
      </c>
      <c r="F14" s="28">
        <f>E14*D14</f>
        <v>1631129</v>
      </c>
    </row>
    <row r="15" spans="2:6">
      <c r="B15" s="179"/>
      <c r="C15" s="106"/>
      <c r="D15" s="276"/>
      <c r="E15" s="267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34"/>
      <c r="C17" s="434"/>
      <c r="D17" s="434"/>
      <c r="E17" s="434"/>
      <c r="F17" s="434"/>
    </row>
    <row r="18" spans="2:9">
      <c r="B18" s="432" t="s">
        <v>226</v>
      </c>
      <c r="C18" s="432"/>
      <c r="D18" s="432"/>
      <c r="E18" s="432"/>
      <c r="F18" s="432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7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7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4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8" t="s">
        <v>23</v>
      </c>
      <c r="C28" s="106" t="s">
        <v>227</v>
      </c>
      <c r="D28" s="192">
        <v>1</v>
      </c>
      <c r="E28" s="181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33"/>
      <c r="C30" s="433"/>
      <c r="D30" s="433"/>
      <c r="E30" s="433"/>
      <c r="F30" s="433"/>
    </row>
    <row r="31" spans="2:9" ht="15.75" thickBot="1">
      <c r="B31" s="432" t="s">
        <v>228</v>
      </c>
      <c r="C31" s="432"/>
      <c r="D31" s="432"/>
      <c r="E31" s="432"/>
      <c r="F31" s="432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287" t="s">
        <v>115</v>
      </c>
      <c r="D33" s="6"/>
      <c r="E33" s="7" t="s">
        <v>4</v>
      </c>
      <c r="F33" s="8"/>
    </row>
    <row r="34" spans="2:6">
      <c r="B34" s="71" t="s">
        <v>5</v>
      </c>
      <c r="C34" s="182" t="s">
        <v>229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29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0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2" t="s">
        <v>230</v>
      </c>
      <c r="C41" s="283" t="s">
        <v>231</v>
      </c>
      <c r="D41" s="284">
        <v>1</v>
      </c>
      <c r="E41" s="285">
        <v>264000</v>
      </c>
      <c r="F41" s="286">
        <f>D41*E41</f>
        <v>264000</v>
      </c>
    </row>
    <row r="42" spans="2:6" ht="15.75" thickBot="1">
      <c r="B42" s="115"/>
      <c r="C42" s="314"/>
      <c r="D42" s="150"/>
      <c r="E42" s="151" t="s">
        <v>18</v>
      </c>
      <c r="F42" s="129">
        <f>F41</f>
        <v>264000</v>
      </c>
    </row>
    <row r="44" spans="2:6" ht="15.75" thickBot="1">
      <c r="B44" s="432" t="s">
        <v>259</v>
      </c>
      <c r="C44" s="432"/>
      <c r="D44" s="432"/>
      <c r="E44" s="432"/>
      <c r="F44" s="432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15" t="s">
        <v>113</v>
      </c>
      <c r="D46" s="6"/>
      <c r="E46" s="7" t="s">
        <v>4</v>
      </c>
      <c r="F46" s="8"/>
    </row>
    <row r="47" spans="2:6">
      <c r="B47" s="9" t="s">
        <v>5</v>
      </c>
      <c r="C47" s="182" t="s">
        <v>279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6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8" t="s">
        <v>230</v>
      </c>
      <c r="C54" s="283" t="s">
        <v>261</v>
      </c>
      <c r="D54" s="284">
        <v>2</v>
      </c>
      <c r="E54" s="285">
        <v>56958</v>
      </c>
      <c r="F54" s="286">
        <f>D54*E54</f>
        <v>113916</v>
      </c>
    </row>
    <row r="55" spans="2:8" ht="15.75" thickBot="1">
      <c r="B55" s="316"/>
      <c r="C55" s="316"/>
      <c r="D55" s="150"/>
      <c r="E55" s="151" t="s">
        <v>18</v>
      </c>
      <c r="F55" s="150">
        <f>F54</f>
        <v>113916</v>
      </c>
      <c r="H55" t="s">
        <v>161</v>
      </c>
    </row>
    <row r="56" spans="2:8">
      <c r="E56" s="322"/>
      <c r="F56" s="323"/>
    </row>
    <row r="57" spans="2:8" ht="15.75" thickBot="1">
      <c r="B57" s="432" t="s">
        <v>296</v>
      </c>
      <c r="C57" s="432"/>
      <c r="D57" s="432"/>
      <c r="E57" s="432"/>
      <c r="F57" s="432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15" t="s">
        <v>297</v>
      </c>
      <c r="D59" s="6"/>
      <c r="E59" s="7" t="s">
        <v>4</v>
      </c>
      <c r="F59" s="8"/>
    </row>
    <row r="60" spans="2:8">
      <c r="B60" s="9" t="s">
        <v>5</v>
      </c>
      <c r="C60" s="182" t="s">
        <v>298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29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9">
        <v>3200000000</v>
      </c>
      <c r="C67" s="106" t="s">
        <v>24</v>
      </c>
      <c r="D67" s="134">
        <v>1</v>
      </c>
      <c r="E67" s="290">
        <v>283862</v>
      </c>
      <c r="F67" s="150">
        <f>D67*E67</f>
        <v>283862</v>
      </c>
    </row>
    <row r="68" spans="2:6" ht="15.75" thickBot="1">
      <c r="B68" s="189"/>
      <c r="C68" s="189"/>
      <c r="D68" s="150"/>
      <c r="E68" s="151" t="s">
        <v>18</v>
      </c>
      <c r="F68" s="129">
        <f>SUM(F67:F67)</f>
        <v>283862</v>
      </c>
    </row>
    <row r="70" spans="2:6" ht="15.75" thickBot="1">
      <c r="B70" s="432" t="s">
        <v>283</v>
      </c>
      <c r="C70" s="432"/>
      <c r="D70" s="432"/>
      <c r="E70" s="432"/>
      <c r="F70" s="432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291" t="s">
        <v>262</v>
      </c>
      <c r="D72" s="6"/>
      <c r="E72" s="7" t="s">
        <v>4</v>
      </c>
      <c r="F72" s="8"/>
    </row>
    <row r="73" spans="2:6">
      <c r="B73" s="9" t="s">
        <v>5</v>
      </c>
      <c r="C73" s="182" t="s">
        <v>288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29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1" t="s">
        <v>17</v>
      </c>
    </row>
    <row r="80" spans="2:6" ht="15.75" thickBot="1">
      <c r="B80" s="282">
        <v>9910000003</v>
      </c>
      <c r="C80" s="309" t="s">
        <v>46</v>
      </c>
      <c r="D80" s="292">
        <v>1</v>
      </c>
      <c r="E80" s="203">
        <v>180000</v>
      </c>
      <c r="F80" s="150">
        <f>D80*E80</f>
        <v>180000</v>
      </c>
    </row>
    <row r="81" spans="2:7" ht="15.75" thickBot="1">
      <c r="B81" s="126"/>
      <c r="C81" s="126"/>
      <c r="D81" s="197"/>
      <c r="E81" s="197"/>
      <c r="F81" s="150">
        <f t="shared" ref="F81:F82" si="0">D81*E81</f>
        <v>0</v>
      </c>
    </row>
    <row r="82" spans="2:7" ht="15.75" thickBot="1">
      <c r="B82" s="126"/>
      <c r="C82" s="126"/>
      <c r="D82" s="197"/>
      <c r="E82" s="197"/>
      <c r="F82" s="150">
        <f t="shared" si="0"/>
        <v>0</v>
      </c>
    </row>
    <row r="83" spans="2:7" ht="15.75" thickBot="1">
      <c r="E83" s="198" t="s">
        <v>18</v>
      </c>
      <c r="F83" s="150">
        <v>180000</v>
      </c>
    </row>
    <row r="84" spans="2:7">
      <c r="F84" s="327"/>
    </row>
    <row r="86" spans="2:7">
      <c r="C86" s="433" t="s">
        <v>215</v>
      </c>
      <c r="D86" s="433"/>
      <c r="E86" s="433"/>
      <c r="F86" s="433"/>
      <c r="G86" s="433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5"/>
      <c r="C1" s="435"/>
      <c r="D1" s="435"/>
      <c r="E1" s="435"/>
      <c r="F1" s="435"/>
    </row>
    <row r="2" spans="2:6" ht="15.75" thickBot="1">
      <c r="B2" s="432" t="s">
        <v>283</v>
      </c>
      <c r="C2" s="432"/>
      <c r="D2" s="432"/>
      <c r="E2" s="432"/>
      <c r="F2" s="432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4" t="s">
        <v>289</v>
      </c>
      <c r="D4" s="6"/>
      <c r="E4" s="7" t="s">
        <v>4</v>
      </c>
      <c r="F4" s="8"/>
    </row>
    <row r="5" spans="2:6">
      <c r="B5" s="9" t="s">
        <v>5</v>
      </c>
      <c r="C5" s="317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8" t="s">
        <v>13</v>
      </c>
      <c r="C11" s="268" t="s">
        <v>14</v>
      </c>
      <c r="D11" s="215" t="s">
        <v>15</v>
      </c>
      <c r="E11" s="216" t="s">
        <v>16</v>
      </c>
      <c r="F11" s="217" t="s">
        <v>17</v>
      </c>
    </row>
    <row r="12" spans="2:6">
      <c r="B12" s="312">
        <v>3200000000</v>
      </c>
      <c r="C12" s="310" t="s">
        <v>291</v>
      </c>
      <c r="D12" s="213">
        <v>1</v>
      </c>
      <c r="E12" s="187">
        <v>3058048</v>
      </c>
      <c r="F12" s="197">
        <v>3058048</v>
      </c>
    </row>
    <row r="13" spans="2:6">
      <c r="B13" s="311"/>
      <c r="C13" s="298"/>
      <c r="D13" s="213"/>
      <c r="E13" s="197"/>
      <c r="F13" s="197"/>
    </row>
    <row r="14" spans="2:6">
      <c r="B14" s="311"/>
      <c r="C14" s="298"/>
      <c r="D14" s="197"/>
      <c r="E14" s="198" t="s">
        <v>156</v>
      </c>
      <c r="F14" s="197">
        <v>3058048</v>
      </c>
    </row>
    <row r="15" spans="2:6" ht="15.75" thickBot="1">
      <c r="B15" s="432" t="s">
        <v>283</v>
      </c>
      <c r="C15" s="432"/>
      <c r="D15" s="432"/>
      <c r="E15" s="432"/>
      <c r="F15" s="432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3" t="s">
        <v>105</v>
      </c>
      <c r="D17" s="6"/>
      <c r="E17" s="7" t="s">
        <v>4</v>
      </c>
      <c r="F17" s="8"/>
    </row>
    <row r="18" spans="2:9">
      <c r="B18" s="9" t="s">
        <v>5</v>
      </c>
      <c r="C18" s="177" t="s">
        <v>256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1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68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2" t="s">
        <v>230</v>
      </c>
      <c r="C25" s="310" t="s">
        <v>261</v>
      </c>
      <c r="D25" s="134">
        <v>20</v>
      </c>
      <c r="E25" s="200">
        <v>56958</v>
      </c>
      <c r="F25" s="150">
        <v>1139160</v>
      </c>
    </row>
    <row r="26" spans="2:9" ht="15.75" thickBot="1">
      <c r="B26" s="112"/>
      <c r="C26" s="313"/>
      <c r="D26" s="139"/>
      <c r="E26" s="140" t="s">
        <v>18</v>
      </c>
      <c r="F26" s="141">
        <v>1139160</v>
      </c>
    </row>
    <row r="27" spans="2:9" ht="15.75" thickBot="1">
      <c r="B27" s="432" t="s">
        <v>293</v>
      </c>
      <c r="C27" s="432"/>
      <c r="D27" s="432"/>
      <c r="E27" s="432"/>
      <c r="F27" s="432"/>
      <c r="I27" t="s">
        <v>161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3" t="s">
        <v>123</v>
      </c>
      <c r="D29" s="6"/>
      <c r="E29" s="7" t="s">
        <v>4</v>
      </c>
      <c r="F29" s="8"/>
    </row>
    <row r="30" spans="2:9" ht="15.75" thickBot="1">
      <c r="B30" s="158" t="s">
        <v>5</v>
      </c>
      <c r="C30" s="177" t="s">
        <v>239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4" t="s">
        <v>15</v>
      </c>
      <c r="E36" s="75" t="s">
        <v>16</v>
      </c>
      <c r="F36" s="206" t="s">
        <v>17</v>
      </c>
    </row>
    <row r="37" spans="2:6" ht="16.5" thickBot="1">
      <c r="B37" s="312" t="s">
        <v>23</v>
      </c>
      <c r="C37" s="106" t="s">
        <v>124</v>
      </c>
      <c r="D37" s="134">
        <v>1</v>
      </c>
      <c r="E37" s="209">
        <v>250000</v>
      </c>
      <c r="F37" s="207">
        <f>D37*E37</f>
        <v>250000</v>
      </c>
    </row>
    <row r="38" spans="2:6" ht="15.75" thickBot="1">
      <c r="B38" s="115"/>
      <c r="C38" s="115"/>
      <c r="D38" s="205"/>
      <c r="E38" s="198" t="s">
        <v>18</v>
      </c>
      <c r="F38" s="208">
        <f>F37</f>
        <v>250000</v>
      </c>
    </row>
    <row r="40" spans="2:6" ht="15.75" thickBot="1">
      <c r="B40" s="432" t="s">
        <v>259</v>
      </c>
      <c r="C40" s="432"/>
      <c r="D40" s="432"/>
      <c r="E40" s="432"/>
      <c r="F40" s="432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7" t="s">
        <v>115</v>
      </c>
      <c r="D42" s="6"/>
      <c r="E42" s="7" t="s">
        <v>4</v>
      </c>
      <c r="F42" s="8"/>
    </row>
    <row r="43" spans="2:6">
      <c r="B43" s="9" t="s">
        <v>5</v>
      </c>
      <c r="C43" s="177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1">
        <v>191540</v>
      </c>
      <c r="D45" s="6"/>
      <c r="E45" s="18"/>
      <c r="F45" s="8"/>
    </row>
    <row r="46" spans="2:6">
      <c r="B46" s="9" t="s">
        <v>10</v>
      </c>
      <c r="C46" s="308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2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32" t="s">
        <v>259</v>
      </c>
      <c r="C54" s="432"/>
      <c r="D54" s="432"/>
      <c r="E54" s="432"/>
      <c r="F54" s="432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1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5" t="s">
        <v>15</v>
      </c>
      <c r="E63" s="216" t="s">
        <v>16</v>
      </c>
      <c r="F63" s="217" t="s">
        <v>17</v>
      </c>
    </row>
    <row r="64" spans="2:6" ht="15.75">
      <c r="B64" s="213" t="s">
        <v>23</v>
      </c>
      <c r="C64" s="106" t="s">
        <v>124</v>
      </c>
      <c r="D64" s="213">
        <v>1</v>
      </c>
      <c r="E64" s="209">
        <v>250000</v>
      </c>
      <c r="F64" s="136">
        <f>D64*E64</f>
        <v>250000</v>
      </c>
    </row>
    <row r="65" spans="2:6" ht="15.75" thickBot="1">
      <c r="B65" s="112"/>
      <c r="C65" s="214"/>
      <c r="D65" s="197"/>
      <c r="E65" s="198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32" t="s">
        <v>257</v>
      </c>
      <c r="C2" s="432"/>
      <c r="D2" s="432"/>
      <c r="E2" s="432"/>
      <c r="F2" s="432"/>
    </row>
    <row r="3" spans="2:6">
      <c r="B3" s="69"/>
      <c r="C3" s="70" t="s">
        <v>73</v>
      </c>
      <c r="D3" s="2"/>
      <c r="E3" s="3"/>
      <c r="F3" s="4"/>
    </row>
    <row r="4" spans="2:6">
      <c r="B4" s="219" t="s">
        <v>3</v>
      </c>
      <c r="C4" s="183" t="s">
        <v>262</v>
      </c>
      <c r="D4" s="146"/>
      <c r="E4" s="19" t="s">
        <v>4</v>
      </c>
      <c r="F4" s="4"/>
    </row>
    <row r="5" spans="2:6">
      <c r="B5" s="219" t="s">
        <v>5</v>
      </c>
      <c r="C5" s="177" t="s">
        <v>258</v>
      </c>
      <c r="D5" s="146"/>
      <c r="E5" s="83"/>
      <c r="F5" s="4"/>
    </row>
    <row r="6" spans="2:6">
      <c r="B6" s="219" t="s">
        <v>7</v>
      </c>
      <c r="C6" s="106">
        <v>98360</v>
      </c>
      <c r="D6" s="147"/>
      <c r="E6" s="83" t="s">
        <v>8</v>
      </c>
      <c r="F6" s="4"/>
    </row>
    <row r="7" spans="2:6">
      <c r="B7" s="220" t="s">
        <v>9</v>
      </c>
      <c r="C7" s="212">
        <v>188948</v>
      </c>
      <c r="D7" s="2"/>
      <c r="E7" s="84"/>
      <c r="F7" s="4"/>
    </row>
    <row r="8" spans="2:6">
      <c r="B8" s="219" t="s">
        <v>10</v>
      </c>
      <c r="C8" s="106">
        <v>1433</v>
      </c>
      <c r="D8" s="2"/>
      <c r="E8" s="86"/>
      <c r="F8" s="4"/>
    </row>
    <row r="9" spans="2:6">
      <c r="B9" s="219" t="s">
        <v>11</v>
      </c>
      <c r="C9" s="106">
        <v>90117</v>
      </c>
      <c r="D9" s="2"/>
      <c r="E9" s="4"/>
      <c r="F9" s="4"/>
    </row>
    <row r="10" spans="2:6">
      <c r="B10" s="219" t="s">
        <v>12</v>
      </c>
      <c r="C10" s="222">
        <v>4194</v>
      </c>
      <c r="D10" s="2"/>
      <c r="E10" s="4"/>
      <c r="F10" s="4"/>
    </row>
    <row r="11" spans="2:6">
      <c r="B11" s="221" t="s">
        <v>13</v>
      </c>
      <c r="C11" s="221" t="s">
        <v>14</v>
      </c>
      <c r="D11" s="223" t="s">
        <v>15</v>
      </c>
      <c r="E11" s="223" t="s">
        <v>16</v>
      </c>
      <c r="F11" s="224" t="s">
        <v>17</v>
      </c>
    </row>
    <row r="12" spans="2:6">
      <c r="B12" s="179" t="s">
        <v>263</v>
      </c>
      <c r="C12" s="106" t="s">
        <v>264</v>
      </c>
      <c r="D12" s="213"/>
      <c r="E12" s="187"/>
      <c r="F12" s="225">
        <f>E12*D12</f>
        <v>0</v>
      </c>
    </row>
    <row r="13" spans="2:6">
      <c r="B13" s="301" t="s">
        <v>247</v>
      </c>
      <c r="C13" s="301"/>
      <c r="D13" s="213"/>
      <c r="E13" s="226"/>
      <c r="F13" s="227">
        <f>F12</f>
        <v>0</v>
      </c>
    </row>
    <row r="14" spans="2:6">
      <c r="F14" s="123"/>
    </row>
    <row r="15" spans="2:6" ht="15.75" thickBot="1">
      <c r="B15" s="432" t="s">
        <v>257</v>
      </c>
      <c r="C15" s="432"/>
      <c r="D15" s="432"/>
      <c r="E15" s="432"/>
      <c r="F15" s="432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74" t="s">
        <v>105</v>
      </c>
      <c r="D17" s="146"/>
      <c r="E17" s="19" t="s">
        <v>4</v>
      </c>
      <c r="F17" s="4"/>
    </row>
    <row r="18" spans="2:6">
      <c r="B18" s="81" t="s">
        <v>5</v>
      </c>
      <c r="C18" s="275" t="s">
        <v>256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1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8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3" t="s">
        <v>230</v>
      </c>
      <c r="C25" s="106" t="s">
        <v>261</v>
      </c>
      <c r="D25" s="213">
        <v>5</v>
      </c>
      <c r="E25" s="201">
        <v>56958</v>
      </c>
      <c r="F25" s="93">
        <f>D25*E25</f>
        <v>284790</v>
      </c>
    </row>
    <row r="26" spans="2:6" ht="15.75" thickBot="1">
      <c r="B26" s="94"/>
      <c r="C26" s="302"/>
      <c r="D26" s="213"/>
      <c r="E26" s="326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32" t="s">
        <v>254</v>
      </c>
      <c r="C28" s="432"/>
      <c r="D28" s="432"/>
      <c r="E28" s="432"/>
      <c r="F28" s="432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4"/>
      <c r="D30" s="82"/>
      <c r="E30" s="19" t="s">
        <v>4</v>
      </c>
      <c r="F30" s="4"/>
    </row>
    <row r="31" spans="2:6">
      <c r="B31" s="81" t="s">
        <v>5</v>
      </c>
      <c r="C31" s="275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0"/>
      <c r="D36" s="2"/>
      <c r="E36" s="4"/>
      <c r="F36" s="4"/>
    </row>
    <row r="37" spans="2:6" ht="15.75" thickBot="1">
      <c r="B37" s="89" t="s">
        <v>13</v>
      </c>
      <c r="C37" s="178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3"/>
      <c r="C38" s="106"/>
      <c r="D38" s="213"/>
      <c r="E38" s="201"/>
      <c r="F38" s="93">
        <f>D38*E38</f>
        <v>0</v>
      </c>
    </row>
    <row r="39" spans="2:6" ht="16.5" thickBot="1">
      <c r="B39" s="94"/>
      <c r="C39" s="303"/>
      <c r="D39" s="95"/>
      <c r="E39" s="96" t="s">
        <v>18</v>
      </c>
      <c r="F39" s="97">
        <f>SUM(F38:F38)</f>
        <v>0</v>
      </c>
    </row>
    <row r="41" spans="2:6" ht="15.75" thickBot="1">
      <c r="B41" s="432" t="s">
        <v>254</v>
      </c>
      <c r="C41" s="432"/>
      <c r="D41" s="432"/>
      <c r="E41" s="432"/>
      <c r="F41" s="432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3" t="s">
        <v>103</v>
      </c>
      <c r="D43" s="146"/>
      <c r="E43" s="19" t="s">
        <v>4</v>
      </c>
      <c r="F43" s="4"/>
    </row>
    <row r="44" spans="2:6">
      <c r="B44" s="81" t="s">
        <v>5</v>
      </c>
      <c r="C44" s="177" t="s">
        <v>225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3" t="s">
        <v>23</v>
      </c>
      <c r="C51" s="106" t="s">
        <v>124</v>
      </c>
      <c r="D51" s="213">
        <v>1</v>
      </c>
      <c r="E51" s="201">
        <v>250000</v>
      </c>
      <c r="F51" s="93">
        <f>D51*E51</f>
        <v>250000</v>
      </c>
    </row>
    <row r="52" spans="2:9" ht="16.5" thickBot="1">
      <c r="B52" s="120"/>
      <c r="C52" s="304"/>
      <c r="D52" s="121"/>
      <c r="E52" s="122" t="s">
        <v>18</v>
      </c>
      <c r="F52" s="133">
        <f>F51</f>
        <v>250000</v>
      </c>
    </row>
    <row r="54" spans="2:9" ht="15.75" thickBot="1">
      <c r="B54" s="432" t="s">
        <v>257</v>
      </c>
      <c r="C54" s="432"/>
      <c r="D54" s="432"/>
      <c r="E54" s="432"/>
      <c r="F54" s="432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74" t="s">
        <v>209</v>
      </c>
      <c r="D56" s="146"/>
      <c r="E56" s="19" t="s">
        <v>4</v>
      </c>
      <c r="F56" s="4"/>
    </row>
    <row r="57" spans="2:9" ht="15.75" thickBot="1">
      <c r="B57" s="160" t="s">
        <v>5</v>
      </c>
      <c r="C57" s="275" t="s">
        <v>278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2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3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3"/>
      <c r="E65" s="144"/>
      <c r="F65" s="162"/>
    </row>
    <row r="66" spans="2:6" ht="15.75" thickBot="1">
      <c r="E66" s="145" t="s">
        <v>156</v>
      </c>
      <c r="F66" s="162">
        <v>283432</v>
      </c>
    </row>
    <row r="70" spans="2:6" ht="15.75" thickBot="1">
      <c r="B70" s="432" t="s">
        <v>244</v>
      </c>
      <c r="C70" s="432"/>
      <c r="D70" s="432"/>
      <c r="E70" s="432"/>
      <c r="F70" s="432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74" t="s">
        <v>242</v>
      </c>
      <c r="D72" s="146"/>
      <c r="E72" s="19" t="s">
        <v>4</v>
      </c>
      <c r="F72" s="4"/>
    </row>
    <row r="73" spans="2:6">
      <c r="B73" s="81" t="s">
        <v>5</v>
      </c>
      <c r="C73" s="275" t="s">
        <v>241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1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8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3">
        <v>11110000</v>
      </c>
      <c r="C80" s="106" t="s">
        <v>46</v>
      </c>
      <c r="D80" s="213">
        <v>1</v>
      </c>
      <c r="E80" s="201">
        <v>650000</v>
      </c>
      <c r="F80" s="93">
        <f>D80*E80</f>
        <v>650000</v>
      </c>
    </row>
    <row r="81" spans="2:6" ht="15.75" thickBot="1">
      <c r="B81" s="94" t="s">
        <v>245</v>
      </c>
      <c r="C81" s="302" t="s">
        <v>246</v>
      </c>
      <c r="D81" s="95">
        <v>1</v>
      </c>
      <c r="E81" s="201">
        <v>407250</v>
      </c>
      <c r="F81" s="97">
        <v>407250</v>
      </c>
    </row>
    <row r="82" spans="2:6" ht="15.75" thickBot="1">
      <c r="B82" s="94" t="s">
        <v>247</v>
      </c>
      <c r="C82" s="302" t="s">
        <v>248</v>
      </c>
      <c r="D82" s="95">
        <v>1</v>
      </c>
      <c r="E82" s="201">
        <v>96829</v>
      </c>
      <c r="F82" s="97">
        <v>96829</v>
      </c>
    </row>
    <row r="83" spans="2:6" ht="15.75" thickBot="1">
      <c r="B83" s="94" t="s">
        <v>240</v>
      </c>
      <c r="C83" s="302" t="s">
        <v>249</v>
      </c>
      <c r="D83" s="95">
        <v>1</v>
      </c>
      <c r="E83" s="201">
        <v>156635</v>
      </c>
      <c r="F83" s="97">
        <v>156635</v>
      </c>
    </row>
    <row r="84" spans="2:6" ht="15.75" thickBot="1">
      <c r="B84" s="94" t="s">
        <v>250</v>
      </c>
      <c r="C84" s="302" t="s">
        <v>251</v>
      </c>
      <c r="D84" s="95">
        <v>1</v>
      </c>
      <c r="E84" s="201">
        <v>102524</v>
      </c>
      <c r="F84" s="97">
        <v>102524</v>
      </c>
    </row>
    <row r="85" spans="2:6" ht="15.75" thickBot="1">
      <c r="B85" s="94" t="s">
        <v>230</v>
      </c>
      <c r="C85" s="302" t="s">
        <v>243</v>
      </c>
      <c r="D85" s="95">
        <v>1</v>
      </c>
      <c r="E85" s="321">
        <v>56958</v>
      </c>
      <c r="F85" s="97">
        <v>56958</v>
      </c>
    </row>
    <row r="86" spans="2:6" ht="15.75" thickBot="1">
      <c r="B86" s="94"/>
      <c r="C86" s="302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32" t="s">
        <v>257</v>
      </c>
      <c r="C93" s="432"/>
      <c r="D93" s="432"/>
      <c r="E93" s="432"/>
      <c r="F93" s="432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4" t="s">
        <v>267</v>
      </c>
      <c r="D95" s="82"/>
      <c r="E95" s="19" t="s">
        <v>4</v>
      </c>
      <c r="F95" s="4"/>
    </row>
    <row r="96" spans="2:6">
      <c r="B96" s="81" t="s">
        <v>5</v>
      </c>
      <c r="C96" s="275" t="s">
        <v>266</v>
      </c>
      <c r="D96" s="146"/>
      <c r="E96" s="83"/>
      <c r="F96" s="4"/>
    </row>
    <row r="97" spans="2:6">
      <c r="B97" s="81" t="s">
        <v>7</v>
      </c>
      <c r="C97" s="106" t="s">
        <v>268</v>
      </c>
      <c r="D97" s="147"/>
      <c r="E97" s="83" t="s">
        <v>8</v>
      </c>
      <c r="F97" s="4"/>
    </row>
    <row r="98" spans="2:6">
      <c r="B98" s="85" t="s">
        <v>9</v>
      </c>
      <c r="C98" s="135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80"/>
      <c r="D101" s="2"/>
      <c r="E101" s="4"/>
      <c r="F101" s="4"/>
    </row>
    <row r="102" spans="2:6" ht="15.75" thickBot="1">
      <c r="B102" s="89" t="s">
        <v>13</v>
      </c>
      <c r="C102" s="178" t="s">
        <v>14</v>
      </c>
      <c r="D102" s="90" t="s">
        <v>15</v>
      </c>
      <c r="E102" s="91"/>
      <c r="F102" s="92" t="s">
        <v>17</v>
      </c>
    </row>
    <row r="103" spans="2:6" ht="15.75" thickBot="1">
      <c r="B103" s="213" t="s">
        <v>270</v>
      </c>
      <c r="C103" s="106" t="s">
        <v>271</v>
      </c>
      <c r="D103" s="213">
        <v>2</v>
      </c>
      <c r="E103" s="201">
        <v>1500000</v>
      </c>
      <c r="F103" s="93">
        <f>D103*E103</f>
        <v>3000000</v>
      </c>
    </row>
    <row r="104" spans="2:6" ht="16.5" thickBot="1">
      <c r="B104" s="302" t="s">
        <v>272</v>
      </c>
      <c r="C104" s="303" t="s">
        <v>273</v>
      </c>
      <c r="D104" s="213">
        <v>1</v>
      </c>
      <c r="E104" s="96">
        <v>189184</v>
      </c>
      <c r="F104" s="97">
        <v>189184</v>
      </c>
    </row>
    <row r="105" spans="2:6" ht="16.5" thickBot="1">
      <c r="B105" s="302" t="s">
        <v>274</v>
      </c>
      <c r="C105" s="303" t="s">
        <v>275</v>
      </c>
      <c r="D105" s="213">
        <v>1</v>
      </c>
      <c r="E105" s="96">
        <v>3248243</v>
      </c>
      <c r="F105" s="97">
        <v>3248243</v>
      </c>
    </row>
    <row r="106" spans="2:6" ht="16.5" thickBot="1">
      <c r="B106" s="302" t="s">
        <v>276</v>
      </c>
      <c r="C106" s="303" t="s">
        <v>277</v>
      </c>
      <c r="D106" s="213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32" t="s">
        <v>257</v>
      </c>
      <c r="C2" s="432"/>
      <c r="D2" s="432"/>
      <c r="E2" s="432"/>
      <c r="F2" s="432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9">
        <v>3200000000</v>
      </c>
      <c r="C12" s="106" t="s">
        <v>24</v>
      </c>
      <c r="D12" s="213">
        <v>1</v>
      </c>
      <c r="E12" s="201">
        <v>283887</v>
      </c>
      <c r="F12" s="93">
        <v>283887</v>
      </c>
    </row>
    <row r="13" spans="2:6" ht="16.5" thickBot="1">
      <c r="B13" s="115"/>
      <c r="C13" s="305"/>
      <c r="D13" s="150"/>
      <c r="E13" s="151" t="s">
        <v>18</v>
      </c>
      <c r="F13" s="93">
        <v>283887</v>
      </c>
    </row>
    <row r="15" spans="2:6" ht="15.75" thickBot="1">
      <c r="B15" s="432" t="s">
        <v>257</v>
      </c>
      <c r="C15" s="432"/>
      <c r="D15" s="432"/>
      <c r="E15" s="432"/>
      <c r="F15" s="432"/>
    </row>
    <row r="16" spans="2:6" ht="15.75" thickBot="1">
      <c r="B16" s="31"/>
      <c r="C16" s="124" t="s">
        <v>74</v>
      </c>
      <c r="D16" s="2"/>
      <c r="E16" s="3"/>
      <c r="F16" s="4"/>
    </row>
    <row r="17" spans="2:6">
      <c r="B17" s="5" t="s">
        <v>3</v>
      </c>
      <c r="C17" s="183" t="s">
        <v>209</v>
      </c>
      <c r="D17" s="6"/>
      <c r="E17" s="7" t="s">
        <v>4</v>
      </c>
      <c r="F17" s="8"/>
    </row>
    <row r="18" spans="2:6">
      <c r="B18" s="9" t="s">
        <v>5</v>
      </c>
      <c r="C18" s="177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9">
        <v>3200000000</v>
      </c>
      <c r="C25" s="106" t="s">
        <v>24</v>
      </c>
      <c r="D25" s="213">
        <v>1</v>
      </c>
      <c r="E25" s="201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32" t="s">
        <v>257</v>
      </c>
      <c r="C28" s="432"/>
      <c r="D28" s="432"/>
      <c r="E28" s="432"/>
      <c r="F28" s="432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9">
        <v>3200000000</v>
      </c>
      <c r="C38" s="106" t="s">
        <v>24</v>
      </c>
      <c r="D38" s="213">
        <v>1</v>
      </c>
      <c r="E38" s="202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32" t="s">
        <v>257</v>
      </c>
      <c r="C41" s="432"/>
      <c r="D41" s="432"/>
      <c r="E41" s="432"/>
      <c r="F41" s="432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3" t="s">
        <v>209</v>
      </c>
      <c r="D43" s="6"/>
      <c r="E43" s="7" t="s">
        <v>4</v>
      </c>
      <c r="F43" s="8"/>
    </row>
    <row r="44" spans="2:6">
      <c r="B44" s="9" t="s">
        <v>5</v>
      </c>
      <c r="C44" s="177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6">
        <v>3200000000</v>
      </c>
      <c r="C51" s="106" t="s">
        <v>24</v>
      </c>
      <c r="D51" s="213">
        <v>1</v>
      </c>
      <c r="E51" s="201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32" t="s">
        <v>257</v>
      </c>
      <c r="C54" s="432"/>
      <c r="D54" s="432"/>
      <c r="E54" s="432"/>
      <c r="F54" s="432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3" t="s">
        <v>209</v>
      </c>
      <c r="D56" s="6"/>
      <c r="E56" s="7" t="s">
        <v>4</v>
      </c>
      <c r="F56" s="8"/>
    </row>
    <row r="57" spans="2:6">
      <c r="B57" s="9" t="s">
        <v>5</v>
      </c>
      <c r="C57" s="177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6">
        <v>3200000000</v>
      </c>
      <c r="C64" s="106" t="s">
        <v>24</v>
      </c>
      <c r="D64" s="213">
        <v>1</v>
      </c>
      <c r="E64" s="201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2" t="s">
        <v>257</v>
      </c>
      <c r="C2" s="432"/>
      <c r="D2" s="432"/>
      <c r="E2" s="432"/>
      <c r="F2" s="432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24</v>
      </c>
      <c r="D12" s="213">
        <v>1</v>
      </c>
      <c r="E12" s="201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33" t="s">
        <v>186</v>
      </c>
      <c r="C15" s="433"/>
      <c r="D15" s="433"/>
      <c r="E15" s="433"/>
      <c r="F15" s="433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184</v>
      </c>
      <c r="D25" s="213">
        <v>1</v>
      </c>
      <c r="E25" s="201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33" t="s">
        <v>188</v>
      </c>
      <c r="C28" s="433"/>
      <c r="D28" s="433"/>
      <c r="E28" s="433"/>
      <c r="F28" s="433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184</v>
      </c>
      <c r="D38" s="213">
        <v>1</v>
      </c>
      <c r="E38" s="201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33" t="s">
        <v>190</v>
      </c>
      <c r="C41" s="433"/>
      <c r="D41" s="433"/>
      <c r="E41" s="433"/>
      <c r="F41" s="433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3" t="s">
        <v>192</v>
      </c>
      <c r="C54" s="433"/>
      <c r="D54" s="433"/>
      <c r="E54" s="433"/>
      <c r="F54" s="433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194</v>
      </c>
      <c r="C2" s="433"/>
      <c r="D2" s="433"/>
      <c r="E2" s="433"/>
      <c r="F2" s="433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3" t="s">
        <v>196</v>
      </c>
      <c r="C15" s="433"/>
      <c r="D15" s="433"/>
      <c r="E15" s="433"/>
      <c r="F15" s="433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185</v>
      </c>
      <c r="D25" s="213">
        <v>1</v>
      </c>
      <c r="E25" s="201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33" t="s">
        <v>198</v>
      </c>
      <c r="C28" s="433"/>
      <c r="D28" s="433"/>
      <c r="E28" s="433"/>
      <c r="F28" s="433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185</v>
      </c>
      <c r="D38" s="213">
        <v>1</v>
      </c>
      <c r="E38" s="201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33" t="s">
        <v>200</v>
      </c>
      <c r="C41" s="433"/>
      <c r="D41" s="433"/>
      <c r="E41" s="433"/>
      <c r="F41" s="433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3" t="s">
        <v>202</v>
      </c>
      <c r="C54" s="433"/>
      <c r="D54" s="433"/>
      <c r="E54" s="433"/>
      <c r="F54" s="433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3" t="s">
        <v>204</v>
      </c>
      <c r="C2" s="433"/>
      <c r="D2" s="433"/>
      <c r="E2" s="433"/>
      <c r="F2" s="433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3"/>
      <c r="C15" s="433"/>
      <c r="D15" s="433"/>
      <c r="E15" s="433"/>
      <c r="F15" s="433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3" t="s">
        <v>158</v>
      </c>
      <c r="D17" s="6"/>
      <c r="E17" s="7" t="s">
        <v>4</v>
      </c>
      <c r="F17" s="8"/>
    </row>
    <row r="18" spans="2:6">
      <c r="B18" s="9" t="s">
        <v>5</v>
      </c>
      <c r="C18" s="177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206</v>
      </c>
      <c r="D25" s="213">
        <v>1</v>
      </c>
      <c r="E25" s="201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33"/>
      <c r="C28" s="433"/>
      <c r="D28" s="433"/>
      <c r="E28" s="433"/>
      <c r="F28" s="433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160</v>
      </c>
      <c r="D38" s="213">
        <v>1</v>
      </c>
      <c r="E38" s="201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33"/>
      <c r="C41" s="433"/>
      <c r="D41" s="433"/>
      <c r="E41" s="433"/>
      <c r="F41" s="433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3" t="s">
        <v>210</v>
      </c>
      <c r="D43" s="6"/>
      <c r="E43" s="7" t="s">
        <v>4</v>
      </c>
      <c r="F43" s="8"/>
    </row>
    <row r="44" spans="2:6">
      <c r="B44" s="9" t="s">
        <v>5</v>
      </c>
      <c r="C44" s="177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212</v>
      </c>
      <c r="D51" s="213">
        <v>1</v>
      </c>
      <c r="E51" s="201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33" t="s">
        <v>213</v>
      </c>
      <c r="C54" s="433"/>
      <c r="D54" s="433"/>
      <c r="E54" s="433"/>
      <c r="F54" s="433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8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9910000003</v>
      </c>
      <c r="C64" s="106" t="s">
        <v>46</v>
      </c>
      <c r="D64" s="213">
        <v>1</v>
      </c>
      <c r="E64" s="201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F2" sqref="F2:F11"/>
    </sheetView>
  </sheetViews>
  <sheetFormatPr baseColWidth="10" defaultRowHeight="15"/>
  <cols>
    <col min="2" max="2" width="11.42578125" style="390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353</v>
      </c>
      <c r="F2" t="s">
        <v>368</v>
      </c>
      <c r="H2">
        <f ca="1">SUMIF('Detalle de Facturacion '!S4:T86,'Detalle de Facturacion '!S4:S86,'Detalle de Facturacion '!T4:T86)</f>
        <v>0</v>
      </c>
    </row>
    <row r="3" spans="2:8">
      <c r="B3" s="390" t="s">
        <v>352</v>
      </c>
      <c r="F3" t="s">
        <v>365</v>
      </c>
    </row>
    <row r="4" spans="2:8">
      <c r="B4" t="s">
        <v>351</v>
      </c>
      <c r="F4" t="s">
        <v>367</v>
      </c>
    </row>
    <row r="5" spans="2:8">
      <c r="B5" s="390" t="s">
        <v>358</v>
      </c>
      <c r="F5" t="s">
        <v>366</v>
      </c>
    </row>
    <row r="6" spans="2:8">
      <c r="B6" t="s">
        <v>350</v>
      </c>
      <c r="F6" t="s">
        <v>364</v>
      </c>
    </row>
    <row r="7" spans="2:8">
      <c r="B7" t="s">
        <v>356</v>
      </c>
      <c r="F7" t="s">
        <v>360</v>
      </c>
    </row>
    <row r="8" spans="2:8">
      <c r="B8" t="s">
        <v>354</v>
      </c>
      <c r="F8" t="s">
        <v>363</v>
      </c>
    </row>
    <row r="9" spans="2:8">
      <c r="B9" t="s">
        <v>355</v>
      </c>
      <c r="F9" t="s">
        <v>362</v>
      </c>
    </row>
    <row r="10" spans="2:8">
      <c r="B10" t="s">
        <v>357</v>
      </c>
      <c r="F10" t="s">
        <v>363</v>
      </c>
    </row>
    <row r="11" spans="2:8">
      <c r="B11" s="390" t="s">
        <v>358</v>
      </c>
      <c r="F11" t="s">
        <v>371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2023-07-26T20:59:24Z</dcterms:modified>
</cp:coreProperties>
</file>